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E:\Web ch-forrer.ch\HomePage Aktiv\Modellflug\Konstruieren\"/>
    </mc:Choice>
  </mc:AlternateContent>
  <xr:revisionPtr revIDLastSave="0" documentId="13_ncr:1_{143B2B77-C709-470D-8EF0-4C69920DF8CA}" xr6:coauthVersionLast="47" xr6:coauthVersionMax="47" xr10:uidLastSave="{00000000-0000-0000-0000-000000000000}"/>
  <bookViews>
    <workbookView xWindow="-120" yWindow="-120" windowWidth="38640" windowHeight="21120" xr2:uid="{00000000-000D-0000-FFFF-FFFF00000000}"/>
  </bookViews>
  <sheets>
    <sheet name="Abmessungen ermitteln" sheetId="1" r:id="rId1"/>
    <sheet name="Kontur-Kontrolle" sheetId="4" r:id="rId2"/>
  </sheets>
  <definedNames>
    <definedName name="_xlnm.Print_Area" localSheetId="0">'Abmessungen ermitteln'!$A:$J</definedName>
    <definedName name="_xlnm.Print_Area" localSheetId="1">'Kontur-Kontrolle'!$A$1:$J$39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4" l="1"/>
  <c r="D16" i="1"/>
  <c r="H88" i="1" l="1"/>
  <c r="A3" i="4" l="1"/>
  <c r="C135" i="1"/>
  <c r="C46" i="4" s="1"/>
  <c r="Z26" i="4"/>
  <c r="T26" i="4"/>
  <c r="X24" i="4"/>
  <c r="S27" i="4"/>
  <c r="S25" i="4"/>
  <c r="Q25" i="4"/>
  <c r="P27" i="4"/>
  <c r="B52" i="4"/>
  <c r="A52" i="4"/>
  <c r="W24" i="4"/>
  <c r="V24" i="4"/>
  <c r="W25" i="4"/>
  <c r="V25" i="4"/>
  <c r="U25" i="4"/>
  <c r="T25" i="4"/>
  <c r="X25" i="4"/>
  <c r="R25" i="4"/>
  <c r="P25" i="4"/>
  <c r="O25" i="4"/>
  <c r="O24" i="4"/>
  <c r="Y15" i="4"/>
  <c r="V14" i="4"/>
  <c r="V15" i="4" s="1"/>
  <c r="S12" i="4"/>
  <c r="S13" i="4" s="1"/>
  <c r="P12" i="4"/>
  <c r="P13" i="4" s="1"/>
  <c r="O10" i="4"/>
  <c r="O11" i="4" s="1"/>
  <c r="U10" i="4"/>
  <c r="U11" i="4" s="1"/>
  <c r="T10" i="4"/>
  <c r="T11" i="4" s="1"/>
  <c r="P10" i="4"/>
  <c r="P11" i="4" s="1"/>
  <c r="A47" i="4"/>
  <c r="B47" i="4"/>
  <c r="A48" i="4"/>
  <c r="B48" i="4"/>
  <c r="A49" i="4"/>
  <c r="B49" i="4"/>
  <c r="A50" i="4"/>
  <c r="B50" i="4"/>
  <c r="A51" i="4"/>
  <c r="B51" i="4"/>
  <c r="A54" i="4"/>
  <c r="A55" i="4"/>
  <c r="B55" i="4"/>
  <c r="A56" i="4"/>
  <c r="B56" i="4"/>
  <c r="A57" i="4"/>
  <c r="B57" i="4"/>
  <c r="A58" i="4"/>
  <c r="B58" i="4"/>
  <c r="A59" i="4"/>
  <c r="B59" i="4"/>
  <c r="A61" i="4"/>
  <c r="B61" i="4"/>
  <c r="A63" i="4"/>
  <c r="A64" i="4"/>
  <c r="B64" i="4"/>
  <c r="A65" i="4"/>
  <c r="B65" i="4"/>
  <c r="A66" i="4"/>
  <c r="B66" i="4"/>
  <c r="A71" i="4"/>
  <c r="B71" i="4"/>
  <c r="A45" i="4"/>
  <c r="C150" i="1"/>
  <c r="C65" i="4" s="1"/>
  <c r="C149" i="1"/>
  <c r="C64" i="4" s="1"/>
  <c r="Y26" i="4" s="1"/>
  <c r="C133" i="1"/>
  <c r="C143" i="1"/>
  <c r="C59" i="4" s="1"/>
  <c r="X14" i="4" s="1"/>
  <c r="X15" i="4" s="1"/>
  <c r="C141" i="1"/>
  <c r="C57" i="4" s="1"/>
  <c r="C140" i="1"/>
  <c r="C56" i="4" s="1"/>
  <c r="C139" i="1"/>
  <c r="C55" i="4" s="1"/>
  <c r="C78" i="1"/>
  <c r="C134" i="1" s="1"/>
  <c r="C52" i="4" s="1"/>
  <c r="R27" i="4" s="1"/>
  <c r="C154" i="1" l="1"/>
  <c r="C68" i="4" s="1"/>
  <c r="P7" i="4"/>
  <c r="P22" i="4" s="1"/>
  <c r="X26" i="4"/>
  <c r="V26" i="4"/>
  <c r="U26" i="4"/>
  <c r="W26" i="4"/>
  <c r="Q27" i="4"/>
  <c r="W14" i="4"/>
  <c r="W15" i="4" s="1"/>
  <c r="C142" i="1"/>
  <c r="C91" i="1"/>
  <c r="C90" i="1"/>
  <c r="C92" i="1"/>
  <c r="C89" i="1"/>
  <c r="C145" i="1" l="1"/>
  <c r="C61" i="4" s="1"/>
  <c r="C58" i="4"/>
  <c r="C144" i="1"/>
  <c r="C129" i="1"/>
  <c r="C125" i="1"/>
  <c r="C126" i="1"/>
  <c r="C49" i="4" s="1"/>
  <c r="C124" i="1"/>
  <c r="C47" i="4" s="1"/>
  <c r="R12" i="4" l="1"/>
  <c r="R13" i="4" s="1"/>
  <c r="Q12" i="4"/>
  <c r="N8" i="4"/>
  <c r="N9" i="4" s="1"/>
  <c r="N23" i="4"/>
  <c r="Z8" i="4"/>
  <c r="Z9" i="4" s="1"/>
  <c r="Q13" i="4"/>
  <c r="Z7" i="4"/>
  <c r="AA22" i="4" s="1"/>
  <c r="C158" i="1"/>
  <c r="C48" i="4"/>
  <c r="C157" i="1"/>
  <c r="C71" i="4" s="1"/>
  <c r="Q7" i="4" l="1"/>
  <c r="Q22" i="4" s="1"/>
  <c r="T7" i="4"/>
  <c r="R7" i="4"/>
  <c r="R22" i="4" s="1"/>
  <c r="S7" i="4"/>
  <c r="S22" i="4" s="1"/>
  <c r="D18" i="1"/>
  <c r="D19" i="1"/>
  <c r="E19" i="1" s="1"/>
  <c r="C20" i="1"/>
  <c r="E18" i="1" l="1"/>
  <c r="C80" i="1"/>
  <c r="E84" i="1" s="1"/>
  <c r="C21" i="1"/>
  <c r="C43" i="1"/>
  <c r="C45" i="1"/>
  <c r="C44" i="1"/>
  <c r="E16" i="1"/>
  <c r="C22" i="1"/>
  <c r="D20" i="1"/>
  <c r="J59" i="1" l="1"/>
  <c r="C127" i="1"/>
  <c r="E85" i="1"/>
  <c r="E83" i="1"/>
  <c r="E82" i="1"/>
  <c r="D22" i="1"/>
  <c r="D48" i="1" s="1"/>
  <c r="C48" i="1" s="1"/>
  <c r="E20" i="1"/>
  <c r="C131" i="1" l="1"/>
  <c r="C50" i="4" s="1"/>
  <c r="C132" i="1"/>
  <c r="E22" i="1"/>
  <c r="C113" i="1" s="1"/>
  <c r="C51" i="4" l="1"/>
  <c r="Y7" i="4" s="1"/>
  <c r="C136" i="1"/>
  <c r="C128" i="1"/>
  <c r="G84" i="1"/>
  <c r="H84" i="1" s="1"/>
  <c r="D91" i="1" s="1"/>
  <c r="G83" i="1"/>
  <c r="H83" i="1" s="1"/>
  <c r="D90" i="1" s="1"/>
  <c r="G82" i="1"/>
  <c r="H82" i="1" s="1"/>
  <c r="D89" i="1" s="1"/>
  <c r="G85" i="1"/>
  <c r="H85" i="1" s="1"/>
  <c r="D92" i="1" s="1"/>
  <c r="C25" i="1"/>
  <c r="C130" i="1" s="1"/>
  <c r="D104" i="1"/>
  <c r="G104" i="1"/>
  <c r="C104" i="1"/>
  <c r="F104" i="1"/>
  <c r="E104" i="1"/>
  <c r="Y22" i="4" l="1"/>
  <c r="V7" i="4"/>
  <c r="W7" i="4"/>
  <c r="X22" i="4"/>
  <c r="U7" i="4"/>
  <c r="Z22" i="4"/>
  <c r="X7" i="4"/>
  <c r="C118" i="1"/>
  <c r="C148" i="1"/>
  <c r="C119" i="1" l="1"/>
  <c r="C152" i="1" s="1"/>
  <c r="C151" i="1"/>
  <c r="C66" i="4" s="1"/>
  <c r="T22" i="4" l="1"/>
  <c r="T20" i="4" s="1"/>
  <c r="T24" i="4" s="1"/>
  <c r="W22" i="4"/>
  <c r="U22" i="4"/>
  <c r="U20" i="4" s="1"/>
  <c r="U24" i="4" s="1"/>
  <c r="V22" i="4"/>
</calcChain>
</file>

<file path=xl/sharedStrings.xml><?xml version="1.0" encoding="utf-8"?>
<sst xmlns="http://schemas.openxmlformats.org/spreadsheetml/2006/main" count="196" uniqueCount="145">
  <si>
    <t>Spannweite</t>
  </si>
  <si>
    <t>Flügelbreite innen</t>
  </si>
  <si>
    <t>Flügelbreite Aussen</t>
  </si>
  <si>
    <t>Flügelstreckung</t>
  </si>
  <si>
    <t>Flügelfläche</t>
  </si>
  <si>
    <t>Flügelbreite gemittelt</t>
  </si>
  <si>
    <t>Das Segelflugmodell Teil III, Franz Perseke, Formel Seite 116</t>
  </si>
  <si>
    <t>Das Segelflugmodell Teil III, Franz Perseke, Formel Seite 110</t>
  </si>
  <si>
    <t>1/6</t>
  </si>
  <si>
    <t>1/7</t>
  </si>
  <si>
    <t>1/8</t>
  </si>
  <si>
    <t>1/9</t>
  </si>
  <si>
    <t>1/10</t>
  </si>
  <si>
    <t>Leitwerkshebelarm gerechnet:</t>
  </si>
  <si>
    <t>Höhenleitwerks- Flächen</t>
  </si>
  <si>
    <t>Gewählte HL-Fläche</t>
  </si>
  <si>
    <t>Gewählte HL- Breite innen</t>
  </si>
  <si>
    <t>Gewählte HL- Breite aussen</t>
  </si>
  <si>
    <t>Höhenleitwerk Spannweite</t>
  </si>
  <si>
    <t>Seitenleitwerksfläche gerechnet</t>
  </si>
  <si>
    <t>1. Eingabe der Grunddaten</t>
  </si>
  <si>
    <t>Grau sind Eingabefelder</t>
  </si>
  <si>
    <t>Geplantes Abfluggewicht</t>
  </si>
  <si>
    <t>m</t>
  </si>
  <si>
    <t>Voraussichtliche Flächenbelastung (Info)</t>
  </si>
  <si>
    <t>Das Segelflugmodell Teil I, Franz Perseke, Seite 87</t>
  </si>
  <si>
    <t>4. Seitenleitwerksfläche</t>
  </si>
  <si>
    <t>SW</t>
  </si>
  <si>
    <t>Fbi</t>
  </si>
  <si>
    <t>Fba</t>
  </si>
  <si>
    <t>Ftm</t>
  </si>
  <si>
    <t>Fs</t>
  </si>
  <si>
    <t>FA</t>
  </si>
  <si>
    <t>Fbl</t>
  </si>
  <si>
    <t>RH</t>
  </si>
  <si>
    <t>HA-Fläche, Bruchteil von Flügelfläche</t>
  </si>
  <si>
    <t>3. Höhenleitwerksfläche "HA": 1/6 - 1/10 des Flächeninhaltes</t>
  </si>
  <si>
    <t>Htm</t>
  </si>
  <si>
    <t>HW</t>
  </si>
  <si>
    <t>HA</t>
  </si>
  <si>
    <t>Hbi</t>
  </si>
  <si>
    <t>Hba</t>
  </si>
  <si>
    <t>Mittlere Höhenleitwerkstiefe</t>
  </si>
  <si>
    <t>sph</t>
  </si>
  <si>
    <t>Ungefährer Schwerpunktsabstand Höhenruder</t>
  </si>
  <si>
    <t>SPf</t>
  </si>
  <si>
    <t>Höhenleitwerk</t>
  </si>
  <si>
    <t>Lwa</t>
  </si>
  <si>
    <t>Min. Leitwerksabstand (Höhenruder) zum Flügel</t>
  </si>
  <si>
    <t>Mögliche Seitenruderabmessungen</t>
  </si>
  <si>
    <t>SH</t>
  </si>
  <si>
    <t>SA</t>
  </si>
  <si>
    <t>Seitenleitwerkshöhe</t>
  </si>
  <si>
    <t>Seitenleitwerkslänge oben</t>
  </si>
  <si>
    <t>Sba</t>
  </si>
  <si>
    <t>Seitenleitwerkslänge unten</t>
  </si>
  <si>
    <t>Sbu</t>
  </si>
  <si>
    <t>V-Form (einseitig)</t>
  </si>
  <si>
    <t>V</t>
  </si>
  <si>
    <t>Unterlegedistanz Flügel beim Bauen</t>
  </si>
  <si>
    <t>Av</t>
  </si>
  <si>
    <t>Sw</t>
  </si>
  <si>
    <t>Neigungswinkel vorn am Seitenruder</t>
  </si>
  <si>
    <t>Das Segelflugmodell Teil I, Franz Perseke, Formel Seite 87</t>
  </si>
  <si>
    <t xml:space="preserve">Ftm x </t>
  </si>
  <si>
    <r>
      <t xml:space="preserve">2. Leitwerkshebelarm (Höhe) "RH"/ </t>
    </r>
    <r>
      <rPr>
        <b/>
        <sz val="12"/>
        <color theme="3" tint="-0.249977111117893"/>
        <rFont val="Calibri"/>
        <family val="2"/>
        <scheme val="minor"/>
      </rPr>
      <t>Abstand Schwerpunkt Flügel zu Schwerpunkt Höhenleitwerk</t>
    </r>
  </si>
  <si>
    <t>(Eine Flügelhälfte liegt waagerecht auf dem Baubrett)</t>
  </si>
  <si>
    <t>Berichtigungsfaktor Höhenleitwerk</t>
  </si>
  <si>
    <t>Höhenleitwerks-Streckung</t>
  </si>
  <si>
    <t>Flügel-Streckung</t>
  </si>
  <si>
    <t>Höhenleitwerk-Streckung gewählt:</t>
  </si>
  <si>
    <t>Berichtigungsfaktor HL gewählt</t>
  </si>
  <si>
    <t>Ermittlung des Berichtigungsfaktor für das Höhenleitwerk</t>
  </si>
  <si>
    <t>Kleine Modelle (&lt; 3m)  ca. 3.5 - 5.0</t>
  </si>
  <si>
    <t>Grosse Modelle (&gt; 3m) ca. 4.5 - 7.0</t>
  </si>
  <si>
    <t>Stabilitätsmass Sigma (σ)</t>
  </si>
  <si>
    <t>"normales" Modell</t>
  </si>
  <si>
    <t>Freiflugmodell</t>
  </si>
  <si>
    <t>grösser</t>
  </si>
  <si>
    <t>Neutral-</t>
  </si>
  <si>
    <t>Punktlage</t>
  </si>
  <si>
    <t>Höhenleitwerksfläche</t>
  </si>
  <si>
    <t>Spannweite Höhenruder, gewählt</t>
  </si>
  <si>
    <t>Breite Höhenruder Aussen</t>
  </si>
  <si>
    <t>Breite Höhenruder in der Mitte, gewählt</t>
  </si>
  <si>
    <t>&gt;&gt; Breiten kleiner 80mm sollten vermieden werden</t>
  </si>
  <si>
    <t>"normales/gutmütiges Mod.</t>
  </si>
  <si>
    <t>Gewählte Höhenleitwerksfläche eintragen</t>
  </si>
  <si>
    <t>Gewählte Breite des Höhenruder eintragen</t>
  </si>
  <si>
    <t>In diesen beiden Felder die gewählten Werte eintragen</t>
  </si>
  <si>
    <t>agiles RC-Modell</t>
  </si>
  <si>
    <t>Aerodynamisch wirksame mittlere Flügeltiefe</t>
  </si>
  <si>
    <r>
      <t xml:space="preserve">Schwerpunkt </t>
    </r>
    <r>
      <rPr>
        <b/>
        <sz val="11"/>
        <color theme="1"/>
        <rFont val="Calibri"/>
        <family val="2"/>
        <scheme val="minor"/>
      </rPr>
      <t>33%</t>
    </r>
    <r>
      <rPr>
        <sz val="11"/>
        <color theme="1"/>
        <rFont val="Calibri"/>
        <family val="2"/>
        <scheme val="minor"/>
      </rPr>
      <t xml:space="preserve"> von Flächentiefe</t>
    </r>
  </si>
  <si>
    <r>
      <t xml:space="preserve">Schwerpunkt </t>
    </r>
    <r>
      <rPr>
        <b/>
        <sz val="11"/>
        <color theme="1"/>
        <rFont val="Calibri"/>
        <family val="2"/>
        <scheme val="minor"/>
      </rPr>
      <t>30%</t>
    </r>
    <r>
      <rPr>
        <sz val="11"/>
        <color theme="1"/>
        <rFont val="Calibri"/>
        <family val="2"/>
        <scheme val="minor"/>
      </rPr>
      <t xml:space="preserve"> von Flächentiefe</t>
    </r>
  </si>
  <si>
    <t>Leitwerkshebelarm (gerechnet)</t>
  </si>
  <si>
    <t>Seitenleitwerk</t>
  </si>
  <si>
    <t>Ungefährer Schwerpunktbereich für Rechteck- Flügel und einfache Trapezflächen wie in Skizze</t>
  </si>
  <si>
    <t>Hauptdaten des Modell, Flügel</t>
  </si>
  <si>
    <t>Rumpf</t>
  </si>
  <si>
    <t>Nasenbreite</t>
  </si>
  <si>
    <t>Breite unter der Tragfläche</t>
  </si>
  <si>
    <t>Rumpflänge vor dem Flügel</t>
  </si>
  <si>
    <t>Rumpfhöhe Nase/Bug</t>
  </si>
  <si>
    <t>Rumpfhöhe unter der Tragfläche</t>
  </si>
  <si>
    <t>Rumpfhöhe am Rumpfende</t>
  </si>
  <si>
    <t>6. Dimensionskontrolle mit den ermittelten Werten</t>
  </si>
  <si>
    <t>Zusätzliche Werte für die Dimesionskontrolle</t>
  </si>
  <si>
    <t>Y-Achse</t>
  </si>
  <si>
    <t>X-Achse, Längen-Positionen</t>
  </si>
  <si>
    <t>Rumpf gesp.</t>
  </si>
  <si>
    <t>Flügel</t>
  </si>
  <si>
    <t>Flügel gesp.</t>
  </si>
  <si>
    <t>Limiten</t>
  </si>
  <si>
    <t>Limiten gesp.</t>
  </si>
  <si>
    <t>Höhenleitwerk gesp.</t>
  </si>
  <si>
    <t>Breite des Rumpf am Beginn des Höhenruders</t>
  </si>
  <si>
    <t xml:space="preserve">Berechnungstabelle </t>
  </si>
  <si>
    <t>Dimensionskontrolle Draufsicht</t>
  </si>
  <si>
    <t>Dimensionskontrolle Seitenansicht</t>
  </si>
  <si>
    <t>Rumpf unten</t>
  </si>
  <si>
    <t>Rumpf oben</t>
  </si>
  <si>
    <t>Verhältniss-Ermittlung Rumpfheck unten</t>
  </si>
  <si>
    <t>Überhang Seitenleitwerk nach hinten</t>
  </si>
  <si>
    <t>2/3 der oberen Seitenleitwerkslänge</t>
  </si>
  <si>
    <t>Rumpf-Gesamtlänge</t>
  </si>
  <si>
    <t>Modellname</t>
  </si>
  <si>
    <t>Beispielwerte, bei</t>
  </si>
  <si>
    <t>Bedarf anzupassen</t>
  </si>
  <si>
    <t>Berechnungswerte, übernommen von Register "Abmessungen ermitteln"</t>
  </si>
  <si>
    <t>Faustformel in erster Näherung: 
"4 - 6" mal "Ftm" (mittlere Flügelbreite)</t>
  </si>
  <si>
    <r>
      <t xml:space="preserve">www.ch-forrer.ch / </t>
    </r>
    <r>
      <rPr>
        <sz val="10"/>
        <color theme="1"/>
        <rFont val="Calibri"/>
        <family val="2"/>
        <scheme val="minor"/>
      </rPr>
      <t>Modellauslegung nach Franz Perseke</t>
    </r>
  </si>
  <si>
    <t>V-Form (einseitig), gewählte Grösse</t>
  </si>
  <si>
    <t>&gt;&gt;&gt;</t>
  </si>
  <si>
    <t>Höhenleitwerks-Streckung:</t>
  </si>
  <si>
    <r>
      <rPr>
        <b/>
        <sz val="11"/>
        <color theme="1"/>
        <rFont val="Calibri"/>
        <family val="2"/>
        <scheme val="minor"/>
      </rPr>
      <t xml:space="preserve">Achtung: </t>
    </r>
    <r>
      <rPr>
        <sz val="11"/>
        <color theme="1"/>
        <rFont val="Calibri"/>
        <family val="2"/>
        <scheme val="minor"/>
      </rPr>
      <t xml:space="preserve">Es ist darauf zu achen, dass die beiden Werte zum </t>
    </r>
  </si>
  <si>
    <t>Diese Werte sind aber mit Vorsicht zu bewerten, die Ergebnisse passen meist eher zu Freiflugmodellen…</t>
  </si>
  <si>
    <t>V02-2020</t>
  </si>
  <si>
    <r>
      <rPr>
        <b/>
        <sz val="11"/>
        <color theme="1"/>
        <rFont val="Calibri"/>
        <family val="2"/>
        <scheme val="minor"/>
      </rPr>
      <t xml:space="preserve">Faustformelmässig </t>
    </r>
    <r>
      <rPr>
        <sz val="11"/>
        <color theme="1"/>
        <rFont val="Calibri"/>
        <family val="2"/>
        <scheme val="minor"/>
      </rPr>
      <t>kann der Flächeninhalt des Höhenruder auch als Bruchteil der Flügelfläche errechnet werden.</t>
    </r>
  </si>
  <si>
    <t>5. Ermittelte Grundabmessungen, zusammentragen aller Daten (zum ausdrucken, letzte Seite)</t>
  </si>
  <si>
    <t>Berechnungstabelle für die Darstellung des Diagramms links</t>
  </si>
  <si>
    <t>"agiles" Modell</t>
  </si>
  <si>
    <t>gleichen Stabilitätsmass gehören!</t>
  </si>
  <si>
    <r>
      <rPr>
        <b/>
        <sz val="11"/>
        <color theme="1"/>
        <rFont val="Calibri"/>
        <family val="2"/>
        <scheme val="minor"/>
      </rPr>
      <t>Annahme</t>
    </r>
    <r>
      <rPr>
        <sz val="11"/>
        <color theme="1"/>
        <rFont val="Calibri"/>
        <family val="2"/>
        <scheme val="minor"/>
      </rPr>
      <t>: Seitenleitwerks- Hebelarm ist gleich Höhenleitwerks- Hebelarm r</t>
    </r>
    <r>
      <rPr>
        <vertAlign val="subscript"/>
        <sz val="11"/>
        <color theme="1"/>
        <rFont val="Calibri"/>
        <family val="2"/>
        <scheme val="minor"/>
      </rPr>
      <t>Hl</t>
    </r>
  </si>
  <si>
    <t>Gelb sind Ergebnisfelder</t>
  </si>
  <si>
    <t>Swift S140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</si>
</sst>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General&quot; m&quot;"/>
    <numFmt numFmtId="165" formatCode="General&quot; mm&quot;"/>
    <numFmt numFmtId="166" formatCode="General&quot; mm²&quot;"/>
    <numFmt numFmtId="167" formatCode="General&quot; m²&quot;"/>
    <numFmt numFmtId="168" formatCode="General&quot; dm&quot;"/>
    <numFmt numFmtId="169" formatCode="General&quot; dm²&quot;"/>
    <numFmt numFmtId="170" formatCode="0.00&quot; dm²&quot;"/>
    <numFmt numFmtId="171" formatCode="0.0&quot; mm&quot;"/>
    <numFmt numFmtId="172" formatCode="General&quot; g&quot;"/>
    <numFmt numFmtId="173" formatCode="0.00&quot; g/dm²&quot;"/>
    <numFmt numFmtId="174" formatCode="0.0&quot; °&quot;"/>
    <numFmt numFmtId="175" formatCode="&quot;HL-Streckung &quot;General"/>
    <numFmt numFmtId="176" formatCode="0.0"/>
    <numFmt numFmtId="177" formatCode="0.000"/>
    <numFmt numFmtId="178" formatCode="General&quot; %&quot;"/>
  </numFmts>
  <fonts count="15" x14ac:knownFonts="1">
    <font>
      <sz val="11"/>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b/>
      <sz val="11"/>
      <color theme="1"/>
      <name val="Calibri"/>
      <family val="2"/>
      <scheme val="minor"/>
    </font>
    <font>
      <sz val="14"/>
      <color theme="1"/>
      <name val="Calibri"/>
      <family val="2"/>
      <scheme val="minor"/>
    </font>
    <font>
      <vertAlign val="subscript"/>
      <sz val="11"/>
      <color theme="1"/>
      <name val="Calibri"/>
      <family val="2"/>
      <scheme val="minor"/>
    </font>
    <font>
      <sz val="12"/>
      <color theme="1"/>
      <name val="Calibri"/>
      <family val="2"/>
      <scheme val="minor"/>
    </font>
    <font>
      <b/>
      <sz val="18"/>
      <color theme="3" tint="-0.249977111117893"/>
      <name val="Calibri"/>
      <family val="2"/>
      <scheme val="minor"/>
    </font>
    <font>
      <sz val="8"/>
      <color theme="1"/>
      <name val="Calibri"/>
      <family val="2"/>
      <scheme val="minor"/>
    </font>
    <font>
      <b/>
      <sz val="12"/>
      <color theme="3" tint="-0.249977111117893"/>
      <name val="Calibri"/>
      <family val="2"/>
      <scheme val="minor"/>
    </font>
    <font>
      <b/>
      <sz val="8.5"/>
      <color rgb="FF595959"/>
      <name val="Calibri"/>
      <family val="2"/>
      <scheme val="minor"/>
    </font>
    <font>
      <sz val="9"/>
      <color theme="1"/>
      <name val="Calibri"/>
      <family val="2"/>
      <scheme val="minor"/>
    </font>
    <font>
      <sz val="10"/>
      <color theme="1"/>
      <name val="Calibri"/>
      <family val="2"/>
      <scheme val="minor"/>
    </font>
    <font>
      <b/>
      <sz val="11"/>
      <color rgb="FFFF0000"/>
      <name val="Calibri"/>
      <family val="2"/>
      <scheme val="minor"/>
    </font>
  </fonts>
  <fills count="7">
    <fill>
      <patternFill patternType="none"/>
    </fill>
    <fill>
      <patternFill patternType="gray125"/>
    </fill>
    <fill>
      <patternFill patternType="solid">
        <fgColor rgb="FFC4C7C1"/>
        <bgColor indexed="64"/>
      </patternFill>
    </fill>
    <fill>
      <patternFill patternType="solid">
        <fgColor rgb="FFFFFF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n">
        <color indexed="64"/>
      </top>
      <bottom style="thick">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bottom/>
      <diagonal/>
    </border>
  </borders>
  <cellStyleXfs count="1">
    <xf numFmtId="0" fontId="0" fillId="0" borderId="0"/>
  </cellStyleXfs>
  <cellXfs count="186">
    <xf numFmtId="0" fontId="0" fillId="0" borderId="0" xfId="0"/>
    <xf numFmtId="165" fontId="4" fillId="2" borderId="1" xfId="0" applyNumberFormat="1" applyFont="1" applyFill="1" applyBorder="1" applyAlignment="1" applyProtection="1">
      <alignment vertical="center"/>
      <protection locked="0"/>
    </xf>
    <xf numFmtId="171" fontId="4" fillId="2" borderId="1" xfId="0" applyNumberFormat="1" applyFont="1" applyFill="1" applyBorder="1" applyAlignment="1" applyProtection="1">
      <alignment horizontal="right" vertical="center"/>
      <protection locked="0"/>
    </xf>
    <xf numFmtId="172" fontId="4" fillId="2" borderId="1" xfId="0" applyNumberFormat="1" applyFont="1" applyFill="1" applyBorder="1" applyAlignment="1" applyProtection="1">
      <alignment vertical="center"/>
      <protection locked="0"/>
    </xf>
    <xf numFmtId="176" fontId="4" fillId="2" borderId="1" xfId="0" applyNumberFormat="1" applyFont="1" applyFill="1" applyBorder="1" applyAlignment="1" applyProtection="1">
      <alignment horizontal="left" vertical="center"/>
      <protection locked="0"/>
    </xf>
    <xf numFmtId="177" fontId="4" fillId="2" borderId="1" xfId="0" applyNumberFormat="1" applyFont="1" applyFill="1" applyBorder="1" applyAlignment="1" applyProtection="1">
      <alignment horizontal="left" vertical="center"/>
      <protection locked="0"/>
    </xf>
    <xf numFmtId="174" fontId="4" fillId="2" borderId="1" xfId="0" applyNumberFormat="1" applyFont="1" applyFill="1" applyBorder="1" applyAlignment="1" applyProtection="1">
      <alignment vertical="center"/>
      <protection locked="0"/>
    </xf>
    <xf numFmtId="165" fontId="0" fillId="2" borderId="1" xfId="0" applyNumberFormat="1" applyFill="1" applyBorder="1" applyAlignment="1" applyProtection="1">
      <alignment vertical="center"/>
      <protection locked="0"/>
    </xf>
    <xf numFmtId="169" fontId="4" fillId="2" borderId="1" xfId="0" applyNumberFormat="1" applyFont="1" applyFill="1" applyBorder="1" applyAlignment="1" applyProtection="1">
      <alignment vertical="center"/>
      <protection locked="0"/>
    </xf>
    <xf numFmtId="165" fontId="4" fillId="2" borderId="0" xfId="0" applyNumberFormat="1" applyFont="1" applyFill="1" applyAlignment="1" applyProtection="1">
      <alignment vertical="center"/>
      <protection locked="0"/>
    </xf>
    <xf numFmtId="165" fontId="0" fillId="4" borderId="1" xfId="0" applyNumberFormat="1" applyFill="1" applyBorder="1" applyProtection="1">
      <protection locked="0"/>
    </xf>
    <xf numFmtId="0" fontId="1" fillId="5" borderId="0" xfId="0" applyFont="1" applyFill="1" applyAlignment="1">
      <alignment vertical="center"/>
    </xf>
    <xf numFmtId="0" fontId="0" fillId="0" borderId="0" xfId="0" applyAlignment="1">
      <alignment vertical="center"/>
    </xf>
    <xf numFmtId="0" fontId="0" fillId="5" borderId="0" xfId="0" applyFill="1" applyAlignment="1">
      <alignment vertical="center"/>
    </xf>
    <xf numFmtId="0" fontId="2" fillId="5" borderId="0" xfId="0" applyFont="1" applyFill="1" applyAlignment="1">
      <alignment horizontal="right" vertical="center"/>
    </xf>
    <xf numFmtId="0" fontId="0" fillId="0" borderId="0" xfId="0" applyAlignment="1">
      <alignment horizontal="center" vertical="center"/>
    </xf>
    <xf numFmtId="0" fontId="4" fillId="0" borderId="0" xfId="0" applyFont="1" applyAlignment="1">
      <alignment horizontal="right" vertical="center"/>
    </xf>
    <xf numFmtId="165" fontId="0" fillId="6" borderId="1" xfId="0" applyNumberFormat="1" applyFill="1" applyBorder="1" applyAlignment="1">
      <alignment vertical="center"/>
    </xf>
    <xf numFmtId="0" fontId="14" fillId="6" borderId="6" xfId="0" applyFont="1" applyFill="1" applyBorder="1" applyAlignment="1">
      <alignment horizontal="center" vertical="center"/>
    </xf>
    <xf numFmtId="0" fontId="0" fillId="6" borderId="7" xfId="0" applyFill="1" applyBorder="1" applyAlignment="1">
      <alignment vertical="center"/>
    </xf>
    <xf numFmtId="0" fontId="0" fillId="3" borderId="1" xfId="0" applyFill="1" applyBorder="1" applyAlignment="1">
      <alignment vertical="center"/>
    </xf>
    <xf numFmtId="0" fontId="0" fillId="3" borderId="5" xfId="0" applyFill="1" applyBorder="1" applyAlignment="1">
      <alignment horizontal="center" vertical="center"/>
    </xf>
    <xf numFmtId="0" fontId="0" fillId="3" borderId="5" xfId="0" applyFill="1" applyBorder="1" applyAlignment="1">
      <alignment vertical="center"/>
    </xf>
    <xf numFmtId="0" fontId="8" fillId="0" borderId="0" xfId="0" applyFont="1" applyAlignment="1">
      <alignment vertical="center"/>
    </xf>
    <xf numFmtId="0" fontId="0" fillId="0" borderId="1" xfId="0" applyBorder="1" applyAlignment="1">
      <alignment vertical="center"/>
    </xf>
    <xf numFmtId="0" fontId="0" fillId="0" borderId="1" xfId="0" applyBorder="1" applyAlignment="1">
      <alignment horizontal="center" vertical="center"/>
    </xf>
    <xf numFmtId="164" fontId="0" fillId="0" borderId="1" xfId="0" applyNumberFormat="1" applyBorder="1" applyAlignment="1">
      <alignment vertical="center"/>
    </xf>
    <xf numFmtId="168" fontId="0" fillId="0" borderId="1" xfId="0" applyNumberFormat="1" applyBorder="1" applyAlignment="1">
      <alignment vertical="center"/>
    </xf>
    <xf numFmtId="165" fontId="0" fillId="0" borderId="1" xfId="0" applyNumberFormat="1" applyBorder="1" applyAlignment="1">
      <alignment vertical="center"/>
    </xf>
    <xf numFmtId="2" fontId="0" fillId="0" borderId="1" xfId="0" applyNumberFormat="1" applyBorder="1" applyAlignment="1">
      <alignment vertical="center"/>
    </xf>
    <xf numFmtId="166" fontId="0" fillId="0" borderId="1" xfId="0" applyNumberFormat="1" applyBorder="1" applyAlignment="1">
      <alignment vertical="center"/>
    </xf>
    <xf numFmtId="167" fontId="0" fillId="0" borderId="1" xfId="0" applyNumberFormat="1" applyBorder="1" applyAlignment="1">
      <alignment vertical="center"/>
    </xf>
    <xf numFmtId="169" fontId="0" fillId="0" borderId="1" xfId="0" applyNumberFormat="1" applyBorder="1" applyAlignment="1">
      <alignment vertical="center"/>
    </xf>
    <xf numFmtId="166" fontId="0" fillId="0" borderId="0" xfId="0" applyNumberFormat="1" applyAlignment="1">
      <alignment vertical="center"/>
    </xf>
    <xf numFmtId="167" fontId="0" fillId="0" borderId="0" xfId="0" applyNumberFormat="1" applyAlignment="1">
      <alignment vertical="center"/>
    </xf>
    <xf numFmtId="169" fontId="0" fillId="0" borderId="0" xfId="0" applyNumberFormat="1" applyAlignment="1">
      <alignment vertical="center"/>
    </xf>
    <xf numFmtId="173" fontId="4" fillId="3" borderId="1" xfId="0" applyNumberFormat="1" applyFont="1" applyFill="1" applyBorder="1" applyAlignment="1">
      <alignment vertical="center"/>
    </xf>
    <xf numFmtId="0" fontId="5" fillId="0" borderId="0" xfId="0" applyFont="1" applyAlignment="1">
      <alignment horizontal="center" vertical="center"/>
    </xf>
    <xf numFmtId="0" fontId="9"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7" fillId="0" borderId="6" xfId="0" applyFont="1" applyBorder="1" applyAlignment="1">
      <alignment horizontal="right" vertical="center"/>
    </xf>
    <xf numFmtId="0" fontId="7" fillId="0" borderId="8" xfId="0" applyFont="1" applyBorder="1" applyAlignment="1">
      <alignment horizontal="center" vertical="center"/>
    </xf>
    <xf numFmtId="165" fontId="3" fillId="3" borderId="1" xfId="0" applyNumberFormat="1" applyFont="1" applyFill="1" applyBorder="1" applyAlignment="1">
      <alignment vertical="center"/>
    </xf>
    <xf numFmtId="0" fontId="3" fillId="0" borderId="1" xfId="0" applyFont="1" applyBorder="1" applyAlignment="1">
      <alignment vertical="center"/>
    </xf>
    <xf numFmtId="0" fontId="3" fillId="0" borderId="1" xfId="0" applyFont="1" applyBorder="1" applyAlignment="1">
      <alignment horizontal="center" vertical="center"/>
    </xf>
    <xf numFmtId="164" fontId="3" fillId="3" borderId="1" xfId="0" applyNumberFormat="1" applyFont="1" applyFill="1" applyBorder="1" applyAlignment="1">
      <alignment vertical="center"/>
    </xf>
    <xf numFmtId="0" fontId="3" fillId="0" borderId="3" xfId="0" applyFont="1" applyBorder="1" applyAlignment="1">
      <alignment vertical="center"/>
    </xf>
    <xf numFmtId="0" fontId="3" fillId="0" borderId="3" xfId="0" applyFont="1" applyBorder="1" applyAlignment="1">
      <alignment horizontal="center" vertical="center"/>
    </xf>
    <xf numFmtId="165" fontId="3" fillId="0" borderId="3" xfId="0" applyNumberFormat="1" applyFont="1" applyBorder="1" applyAlignment="1">
      <alignment vertical="center"/>
    </xf>
    <xf numFmtId="164" fontId="3" fillId="0" borderId="3" xfId="0" applyNumberFormat="1" applyFont="1" applyBorder="1" applyAlignment="1">
      <alignment vertical="center"/>
    </xf>
    <xf numFmtId="0" fontId="2" fillId="0" borderId="0" xfId="0" applyFont="1" applyAlignment="1">
      <alignment horizontal="center" vertical="center"/>
    </xf>
    <xf numFmtId="0" fontId="11" fillId="0" borderId="0" xfId="0" applyFont="1" applyAlignment="1">
      <alignment horizontal="left" vertical="center" readingOrder="1"/>
    </xf>
    <xf numFmtId="0" fontId="4" fillId="0" borderId="0" xfId="0" applyFont="1" applyAlignment="1">
      <alignment vertical="center"/>
    </xf>
    <xf numFmtId="0" fontId="3" fillId="0" borderId="0" xfId="0" applyFont="1" applyAlignment="1">
      <alignment vertical="center"/>
    </xf>
    <xf numFmtId="0" fontId="4" fillId="0" borderId="16" xfId="0"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horizontal="center" vertical="center"/>
    </xf>
    <xf numFmtId="176" fontId="4" fillId="0" borderId="1" xfId="0" applyNumberFormat="1" applyFont="1" applyBorder="1" applyAlignment="1">
      <alignment horizontal="center" vertical="center"/>
    </xf>
    <xf numFmtId="175" fontId="4" fillId="0" borderId="1" xfId="0" applyNumberFormat="1" applyFont="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2" fontId="4" fillId="3" borderId="1" xfId="0" applyNumberFormat="1" applyFont="1" applyFill="1" applyBorder="1" applyAlignment="1">
      <alignment horizontal="left" vertical="center"/>
    </xf>
    <xf numFmtId="177" fontId="4" fillId="0" borderId="6" xfId="0" applyNumberFormat="1" applyFont="1" applyBorder="1" applyAlignment="1">
      <alignment vertical="center"/>
    </xf>
    <xf numFmtId="177" fontId="4" fillId="0" borderId="7" xfId="0" applyNumberFormat="1" applyFont="1" applyBorder="1" applyAlignment="1">
      <alignment vertical="center"/>
    </xf>
    <xf numFmtId="2" fontId="0" fillId="0" borderId="0" xfId="0" applyNumberFormat="1" applyAlignment="1">
      <alignment vertical="center"/>
    </xf>
    <xf numFmtId="0" fontId="4" fillId="0" borderId="1" xfId="0" applyFont="1" applyBorder="1" applyAlignment="1">
      <alignment vertical="center"/>
    </xf>
    <xf numFmtId="171" fontId="4" fillId="3" borderId="1" xfId="0" applyNumberFormat="1" applyFont="1" applyFill="1" applyBorder="1" applyAlignment="1">
      <alignment horizontal="right" vertical="center"/>
    </xf>
    <xf numFmtId="0" fontId="12" fillId="0" borderId="0" xfId="0" applyFont="1" applyAlignment="1">
      <alignment vertical="center"/>
    </xf>
    <xf numFmtId="171" fontId="0" fillId="0" borderId="1" xfId="0" applyNumberFormat="1" applyBorder="1" applyAlignment="1">
      <alignment vertical="center"/>
    </xf>
    <xf numFmtId="0" fontId="4" fillId="0" borderId="2" xfId="0" applyFont="1" applyBorder="1" applyAlignment="1">
      <alignment horizontal="center" vertical="center"/>
    </xf>
    <xf numFmtId="0" fontId="0" fillId="0" borderId="17" xfId="0" applyBorder="1" applyAlignment="1">
      <alignment vertical="center"/>
    </xf>
    <xf numFmtId="0" fontId="4" fillId="0" borderId="18" xfId="0" applyFont="1" applyBorder="1" applyAlignment="1">
      <alignment horizontal="center" vertical="center"/>
    </xf>
    <xf numFmtId="0" fontId="0" fillId="0" borderId="19" xfId="0" applyBorder="1" applyAlignment="1">
      <alignment vertical="center"/>
    </xf>
    <xf numFmtId="0" fontId="4" fillId="0" borderId="4" xfId="0" applyFont="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178" fontId="0" fillId="3" borderId="1" xfId="0" applyNumberFormat="1" applyFill="1" applyBorder="1" applyAlignment="1">
      <alignment horizontal="center" vertical="center"/>
    </xf>
    <xf numFmtId="171" fontId="0" fillId="0" borderId="6" xfId="0" applyNumberFormat="1" applyBorder="1" applyAlignment="1">
      <alignment horizontal="center" vertical="center"/>
    </xf>
    <xf numFmtId="0" fontId="0" fillId="0" borderId="13" xfId="0" applyBorder="1" applyAlignment="1">
      <alignment vertical="center"/>
    </xf>
    <xf numFmtId="169" fontId="0" fillId="3" borderId="7" xfId="0" applyNumberFormat="1" applyFill="1" applyBorder="1" applyAlignment="1">
      <alignment vertical="center"/>
    </xf>
    <xf numFmtId="166" fontId="9" fillId="0" borderId="28" xfId="0" applyNumberFormat="1" applyFont="1" applyBorder="1" applyAlignment="1">
      <alignment vertical="center"/>
    </xf>
    <xf numFmtId="0" fontId="9" fillId="0" borderId="1" xfId="0" applyFont="1" applyBorder="1" applyAlignment="1">
      <alignment vertical="center"/>
    </xf>
    <xf numFmtId="178" fontId="4" fillId="3" borderId="1" xfId="0" applyNumberFormat="1" applyFont="1" applyFill="1" applyBorder="1" applyAlignment="1">
      <alignment horizontal="center" vertical="center"/>
    </xf>
    <xf numFmtId="0" fontId="0" fillId="0" borderId="29" xfId="0" applyBorder="1" applyAlignment="1">
      <alignment vertical="center"/>
    </xf>
    <xf numFmtId="0" fontId="0" fillId="0" borderId="1" xfId="0" applyBorder="1" applyAlignment="1">
      <alignment horizontal="right" vertical="center"/>
    </xf>
    <xf numFmtId="0" fontId="0" fillId="0" borderId="22" xfId="0" applyBorder="1" applyAlignment="1">
      <alignment vertical="center"/>
    </xf>
    <xf numFmtId="169" fontId="0" fillId="3" borderId="23" xfId="0" applyNumberFormat="1" applyFill="1" applyBorder="1" applyAlignment="1">
      <alignment vertical="center"/>
    </xf>
    <xf numFmtId="0" fontId="4" fillId="0" borderId="1" xfId="0" applyFont="1" applyBorder="1" applyAlignment="1">
      <alignment horizontal="center" vertical="center"/>
    </xf>
    <xf numFmtId="0" fontId="0" fillId="0" borderId="0" xfId="0" applyAlignment="1">
      <alignment horizontal="right" vertical="center"/>
    </xf>
    <xf numFmtId="176" fontId="0" fillId="3" borderId="0" xfId="0" applyNumberFormat="1" applyFill="1" applyAlignment="1">
      <alignment horizontal="center" vertical="center"/>
    </xf>
    <xf numFmtId="0" fontId="0" fillId="0" borderId="27" xfId="0" applyBorder="1" applyAlignment="1">
      <alignment vertical="center"/>
    </xf>
    <xf numFmtId="0" fontId="0" fillId="0" borderId="27" xfId="0" applyBorder="1" applyAlignment="1">
      <alignment horizontal="center" vertical="center"/>
    </xf>
    <xf numFmtId="178" fontId="0" fillId="3" borderId="9" xfId="0" applyNumberFormat="1" applyFill="1" applyBorder="1" applyAlignment="1">
      <alignment horizontal="center" vertical="center"/>
    </xf>
    <xf numFmtId="171" fontId="0" fillId="3" borderId="16" xfId="0" applyNumberFormat="1" applyFill="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30" xfId="0" applyBorder="1" applyAlignment="1">
      <alignment vertical="center"/>
    </xf>
    <xf numFmtId="0" fontId="0" fillId="0" borderId="24" xfId="0" applyBorder="1" applyAlignment="1">
      <alignment vertical="center"/>
    </xf>
    <xf numFmtId="0" fontId="0" fillId="0" borderId="25" xfId="0" applyBorder="1" applyAlignment="1">
      <alignment horizontal="center" vertical="center"/>
    </xf>
    <xf numFmtId="171" fontId="0" fillId="3" borderId="1" xfId="0" applyNumberFormat="1" applyFill="1" applyBorder="1" applyAlignment="1">
      <alignment vertical="center"/>
    </xf>
    <xf numFmtId="0" fontId="0" fillId="0" borderId="25" xfId="0" applyBorder="1" applyAlignment="1">
      <alignment vertical="center"/>
    </xf>
    <xf numFmtId="0" fontId="0" fillId="0" borderId="4" xfId="0" applyBorder="1" applyAlignment="1">
      <alignment vertical="center"/>
    </xf>
    <xf numFmtId="0" fontId="0" fillId="0" borderId="26" xfId="0" applyBorder="1" applyAlignment="1">
      <alignment horizontal="center" vertical="center"/>
    </xf>
    <xf numFmtId="171" fontId="0" fillId="3" borderId="31" xfId="0" applyNumberFormat="1" applyFill="1" applyBorder="1" applyAlignment="1">
      <alignment vertical="center"/>
    </xf>
    <xf numFmtId="0" fontId="0" fillId="0" borderId="5" xfId="0" applyBorder="1" applyAlignment="1">
      <alignment vertical="center"/>
    </xf>
    <xf numFmtId="0" fontId="0" fillId="0" borderId="26" xfId="0" applyBorder="1" applyAlignment="1">
      <alignment vertical="center"/>
    </xf>
    <xf numFmtId="0" fontId="4" fillId="0" borderId="3" xfId="0" applyFont="1" applyBorder="1" applyAlignment="1">
      <alignment vertical="center"/>
    </xf>
    <xf numFmtId="0" fontId="0" fillId="0" borderId="3" xfId="0" applyBorder="1" applyAlignment="1">
      <alignment horizontal="center" vertical="center"/>
    </xf>
    <xf numFmtId="0" fontId="0" fillId="0" borderId="10" xfId="0" applyBorder="1" applyAlignment="1">
      <alignment vertical="center"/>
    </xf>
    <xf numFmtId="0" fontId="0" fillId="0" borderId="11" xfId="0" applyBorder="1" applyAlignment="1">
      <alignment horizontal="center" vertical="center"/>
    </xf>
    <xf numFmtId="16" fontId="0" fillId="0" borderId="14" xfId="0" quotePrefix="1" applyNumberFormat="1" applyBorder="1" applyAlignment="1">
      <alignment horizontal="center" vertical="center"/>
    </xf>
    <xf numFmtId="0" fontId="0" fillId="0" borderId="12" xfId="0" quotePrefix="1" applyBorder="1" applyAlignment="1">
      <alignment horizontal="center" vertical="center"/>
    </xf>
    <xf numFmtId="0" fontId="0" fillId="0" borderId="9" xfId="0" applyBorder="1" applyAlignment="1">
      <alignment vertical="center"/>
    </xf>
    <xf numFmtId="0" fontId="0" fillId="0" borderId="4" xfId="0" applyBorder="1" applyAlignment="1">
      <alignment horizontal="center" vertical="center"/>
    </xf>
    <xf numFmtId="170" fontId="0" fillId="0" borderId="15" xfId="0" applyNumberFormat="1" applyBorder="1" applyAlignment="1">
      <alignment horizontal="center" vertical="center"/>
    </xf>
    <xf numFmtId="170" fontId="0" fillId="0" borderId="9" xfId="0" applyNumberFormat="1" applyBorder="1" applyAlignment="1">
      <alignment horizontal="center" vertical="center"/>
    </xf>
    <xf numFmtId="0" fontId="0" fillId="0" borderId="8" xfId="0" applyBorder="1" applyAlignment="1">
      <alignment horizontal="right" vertical="center"/>
    </xf>
    <xf numFmtId="171" fontId="4" fillId="0" borderId="0" xfId="0" applyNumberFormat="1" applyFont="1" applyAlignment="1">
      <alignment vertical="center"/>
    </xf>
    <xf numFmtId="170" fontId="4" fillId="3" borderId="1" xfId="0" applyNumberFormat="1" applyFont="1" applyFill="1" applyBorder="1" applyAlignment="1">
      <alignment vertical="center"/>
    </xf>
    <xf numFmtId="171" fontId="0" fillId="3" borderId="1" xfId="0" applyNumberFormat="1" applyFill="1" applyBorder="1" applyAlignment="1">
      <alignment horizontal="right" vertical="center"/>
    </xf>
    <xf numFmtId="168" fontId="0" fillId="0" borderId="0" xfId="0" applyNumberFormat="1" applyAlignment="1">
      <alignment vertical="center"/>
    </xf>
    <xf numFmtId="174" fontId="0" fillId="3" borderId="1" xfId="0" applyNumberFormat="1" applyFill="1" applyBorder="1" applyAlignment="1">
      <alignment horizontal="right" vertical="center"/>
    </xf>
    <xf numFmtId="165" fontId="4" fillId="0" borderId="1" xfId="0" applyNumberFormat="1" applyFont="1" applyBorder="1" applyAlignment="1">
      <alignment horizontal="right" vertical="center"/>
    </xf>
    <xf numFmtId="165" fontId="0" fillId="0" borderId="1" xfId="0" applyNumberFormat="1" applyBorder="1" applyAlignment="1">
      <alignment horizontal="right" vertical="center"/>
    </xf>
    <xf numFmtId="2" fontId="0" fillId="0" borderId="1" xfId="0" applyNumberFormat="1" applyBorder="1" applyAlignment="1">
      <alignment horizontal="right" vertical="center"/>
    </xf>
    <xf numFmtId="169" fontId="0" fillId="0" borderId="1" xfId="0" applyNumberFormat="1" applyBorder="1" applyAlignment="1">
      <alignment horizontal="right" vertical="center"/>
    </xf>
    <xf numFmtId="172" fontId="0" fillId="0" borderId="1" xfId="0" applyNumberFormat="1" applyBorder="1" applyAlignment="1">
      <alignment horizontal="right" vertical="center"/>
    </xf>
    <xf numFmtId="173" fontId="0" fillId="0" borderId="1" xfId="0" applyNumberFormat="1" applyBorder="1" applyAlignment="1">
      <alignment horizontal="right" vertical="center"/>
    </xf>
    <xf numFmtId="171" fontId="0" fillId="0" borderId="1" xfId="0" applyNumberFormat="1" applyBorder="1" applyAlignment="1">
      <alignment horizontal="right" vertical="center"/>
    </xf>
    <xf numFmtId="174" fontId="0" fillId="0" borderId="1" xfId="0" applyNumberFormat="1" applyBorder="1" applyAlignment="1">
      <alignment horizontal="right" vertical="center"/>
    </xf>
    <xf numFmtId="171" fontId="4" fillId="0" borderId="1" xfId="0" applyNumberFormat="1" applyFont="1" applyBorder="1" applyAlignment="1">
      <alignment horizontal="right" vertical="center"/>
    </xf>
    <xf numFmtId="170" fontId="0" fillId="0" borderId="1" xfId="0" applyNumberFormat="1" applyBorder="1" applyAlignment="1">
      <alignment horizontal="right" vertical="center"/>
    </xf>
    <xf numFmtId="0" fontId="0" fillId="0" borderId="16" xfId="0" applyBorder="1" applyAlignment="1">
      <alignment vertical="center"/>
    </xf>
    <xf numFmtId="0" fontId="0" fillId="0" borderId="16" xfId="0" applyBorder="1" applyAlignment="1">
      <alignment horizontal="center" vertical="center"/>
    </xf>
    <xf numFmtId="171" fontId="0" fillId="0" borderId="16" xfId="0" applyNumberFormat="1" applyBorder="1" applyAlignment="1">
      <alignment horizontal="right" vertical="center"/>
    </xf>
    <xf numFmtId="0" fontId="0" fillId="0" borderId="9" xfId="0" applyBorder="1" applyAlignment="1">
      <alignment horizontal="center" vertical="center"/>
    </xf>
    <xf numFmtId="171" fontId="0" fillId="0" borderId="9" xfId="0" applyNumberFormat="1" applyBorder="1" applyAlignment="1">
      <alignment horizontal="right" vertical="center"/>
    </xf>
    <xf numFmtId="0" fontId="8" fillId="0" borderId="0" xfId="0" applyFont="1"/>
    <xf numFmtId="0" fontId="0" fillId="0" borderId="0" xfId="0" applyAlignment="1">
      <alignment horizontal="center"/>
    </xf>
    <xf numFmtId="0" fontId="0" fillId="0" borderId="25" xfId="0" applyBorder="1"/>
    <xf numFmtId="0" fontId="4" fillId="0" borderId="0" xfId="0" applyFont="1"/>
    <xf numFmtId="0" fontId="1" fillId="5" borderId="0" xfId="0" applyFont="1" applyFill="1"/>
    <xf numFmtId="0" fontId="1" fillId="5" borderId="0" xfId="0" applyFont="1" applyFill="1" applyAlignment="1">
      <alignment horizontal="center"/>
    </xf>
    <xf numFmtId="0" fontId="4" fillId="0" borderId="32" xfId="0" applyFont="1" applyBorder="1"/>
    <xf numFmtId="0" fontId="4" fillId="0" borderId="35" xfId="0" applyFont="1" applyBorder="1"/>
    <xf numFmtId="0" fontId="4" fillId="0" borderId="33" xfId="0" applyFont="1" applyBorder="1"/>
    <xf numFmtId="0" fontId="0" fillId="0" borderId="33" xfId="0" applyBorder="1"/>
    <xf numFmtId="0" fontId="0" fillId="0" borderId="34" xfId="0" applyBorder="1"/>
    <xf numFmtId="0" fontId="4" fillId="0" borderId="24" xfId="0" applyFont="1" applyBorder="1"/>
    <xf numFmtId="0" fontId="4" fillId="0" borderId="38" xfId="0" applyFont="1" applyBorder="1"/>
    <xf numFmtId="0" fontId="0" fillId="0" borderId="4" xfId="0" applyBorder="1"/>
    <xf numFmtId="0" fontId="0" fillId="4" borderId="36" xfId="0" applyFill="1" applyBorder="1" applyAlignment="1">
      <alignment horizontal="center"/>
    </xf>
    <xf numFmtId="0" fontId="0" fillId="4" borderId="9" xfId="0" applyFill="1" applyBorder="1" applyAlignment="1">
      <alignment horizontal="center"/>
    </xf>
    <xf numFmtId="165" fontId="0" fillId="4" borderId="9" xfId="0" applyNumberFormat="1" applyFill="1" applyBorder="1" applyAlignment="1">
      <alignment horizontal="center"/>
    </xf>
    <xf numFmtId="0" fontId="0" fillId="0" borderId="6" xfId="0" applyBorder="1"/>
    <xf numFmtId="165" fontId="0" fillId="0" borderId="36" xfId="0" applyNumberFormat="1" applyBorder="1" applyAlignment="1">
      <alignment horizontal="center"/>
    </xf>
    <xf numFmtId="0" fontId="0" fillId="0" borderId="9" xfId="0" applyBorder="1" applyAlignment="1">
      <alignment horizontal="center"/>
    </xf>
    <xf numFmtId="0" fontId="0" fillId="0" borderId="37" xfId="0" applyBorder="1" applyAlignment="1">
      <alignment horizontal="center"/>
    </xf>
    <xf numFmtId="0" fontId="0" fillId="0" borderId="1" xfId="0" applyBorder="1" applyAlignment="1">
      <alignment horizontal="center"/>
    </xf>
    <xf numFmtId="0" fontId="0" fillId="0" borderId="1" xfId="0" applyBorder="1"/>
    <xf numFmtId="165" fontId="0" fillId="0" borderId="1" xfId="0" applyNumberFormat="1" applyBorder="1" applyAlignment="1">
      <alignment horizontal="center"/>
    </xf>
    <xf numFmtId="0" fontId="0" fillId="0" borderId="7" xfId="0" applyBorder="1"/>
    <xf numFmtId="0" fontId="0" fillId="0" borderId="8" xfId="0" applyBorder="1"/>
    <xf numFmtId="0" fontId="0" fillId="0" borderId="5" xfId="0" applyBorder="1"/>
    <xf numFmtId="0" fontId="0" fillId="0" borderId="5" xfId="0" applyBorder="1" applyAlignment="1">
      <alignment horizontal="center"/>
    </xf>
    <xf numFmtId="0" fontId="0" fillId="0" borderId="26" xfId="0" applyBorder="1"/>
    <xf numFmtId="165" fontId="0" fillId="0" borderId="1" xfId="0" applyNumberFormat="1" applyBorder="1" applyAlignment="1">
      <alignment horizontal="right"/>
    </xf>
    <xf numFmtId="171" fontId="0" fillId="0" borderId="1" xfId="0" applyNumberFormat="1" applyBorder="1" applyAlignment="1">
      <alignment horizontal="right"/>
    </xf>
    <xf numFmtId="0" fontId="0" fillId="0" borderId="0" xfId="0" applyAlignment="1">
      <alignment horizontal="right"/>
    </xf>
    <xf numFmtId="169" fontId="0" fillId="0" borderId="1" xfId="0" applyNumberFormat="1" applyBorder="1" applyAlignment="1">
      <alignment horizontal="right"/>
    </xf>
    <xf numFmtId="2" fontId="0" fillId="0" borderId="1" xfId="0" applyNumberFormat="1" applyBorder="1" applyAlignment="1">
      <alignment horizontal="right"/>
    </xf>
    <xf numFmtId="165" fontId="0" fillId="0" borderId="1" xfId="0" applyNumberFormat="1" applyBorder="1"/>
    <xf numFmtId="0" fontId="0" fillId="0" borderId="16" xfId="0" applyBorder="1"/>
    <xf numFmtId="0" fontId="0" fillId="0" borderId="16" xfId="0" applyBorder="1" applyAlignment="1">
      <alignment horizontal="center"/>
    </xf>
    <xf numFmtId="171" fontId="0" fillId="0" borderId="16" xfId="0" applyNumberFormat="1" applyBorder="1" applyAlignment="1">
      <alignment horizontal="right"/>
    </xf>
    <xf numFmtId="0" fontId="0" fillId="0" borderId="9" xfId="0" applyBorder="1"/>
    <xf numFmtId="171" fontId="0" fillId="0" borderId="9" xfId="0" applyNumberFormat="1" applyBorder="1" applyAlignment="1">
      <alignment horizontal="right"/>
    </xf>
    <xf numFmtId="171" fontId="0" fillId="0" borderId="0" xfId="0" applyNumberFormat="1" applyAlignment="1">
      <alignment horizontal="right"/>
    </xf>
    <xf numFmtId="171" fontId="0" fillId="0" borderId="1" xfId="0" applyNumberFormat="1" applyBorder="1"/>
    <xf numFmtId="0" fontId="0" fillId="0" borderId="13"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 fillId="6" borderId="0" xfId="0" applyFont="1" applyFill="1" applyAlignment="1" applyProtection="1">
      <alignment horizontal="left" vertical="center"/>
      <protection locked="0"/>
    </xf>
  </cellXfs>
  <cellStyles count="1">
    <cellStyle name="Standard" xfId="0" builtinId="0"/>
  </cellStyles>
  <dxfs count="0"/>
  <tableStyles count="0" defaultTableStyle="TableStyleMedium2" defaultPivotStyle="PivotStyleLight16"/>
  <colors>
    <mruColors>
      <color rgb="FFC4C7C1"/>
      <color rgb="FFECED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Ermittlung des Berichtigungsfaktor für das Höhenleitwerk</a:t>
            </a:r>
            <a:endParaRPr lang="de-CH" sz="1400">
              <a:effectLst/>
            </a:endParaRPr>
          </a:p>
        </c:rich>
      </c:tx>
      <c:layout>
        <c:manualLayout>
          <c:xMode val="edge"/>
          <c:yMode val="edge"/>
          <c:x val="0.12766296763721394"/>
          <c:y val="1.862991862246176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0.10462736482618981"/>
          <c:y val="0.11516394695118448"/>
          <c:w val="0.66584114217168866"/>
          <c:h val="0.74696438678351518"/>
        </c:manualLayout>
      </c:layout>
      <c:scatterChart>
        <c:scatterStyle val="smoothMarker"/>
        <c:varyColors val="0"/>
        <c:ser>
          <c:idx val="11"/>
          <c:order val="0"/>
          <c:tx>
            <c:v>Berichtigungsfaktor HL</c:v>
          </c:tx>
          <c:spPr>
            <a:ln w="57150" cap="rnd">
              <a:solidFill>
                <a:srgbClr val="FF0000"/>
              </a:solidFill>
              <a:round/>
            </a:ln>
            <a:effectLst/>
          </c:spPr>
          <c:marker>
            <c:symbol val="circle"/>
            <c:size val="5"/>
            <c:spPr>
              <a:solidFill>
                <a:srgbClr val="FF0000"/>
              </a:solidFill>
              <a:ln w="57150">
                <a:solidFill>
                  <a:srgbClr val="FF0000"/>
                </a:solidFill>
              </a:ln>
              <a:effectLst/>
            </c:spPr>
          </c:marker>
          <c:xVal>
            <c:numRef>
              <c:f>'Abmessungen ermitteln'!$J$59</c:f>
              <c:numCache>
                <c:formatCode>0.00</c:formatCode>
                <c:ptCount val="1"/>
                <c:pt idx="0">
                  <c:v>9.6551724137931032</c:v>
                </c:pt>
              </c:numCache>
            </c:numRef>
          </c:xVal>
          <c:yVal>
            <c:numRef>
              <c:f>'Abmessungen ermitteln'!$J$61</c:f>
              <c:numCache>
                <c:formatCode>0.000</c:formatCode>
                <c:ptCount val="1"/>
                <c:pt idx="0">
                  <c:v>0.43</c:v>
                </c:pt>
              </c:numCache>
            </c:numRef>
          </c:yVal>
          <c:smooth val="1"/>
          <c:extLst>
            <c:ext xmlns:c16="http://schemas.microsoft.com/office/drawing/2014/chart" uri="{C3380CC4-5D6E-409C-BE32-E72D297353CC}">
              <c16:uniqueId val="{00000017-A60F-48A5-A21A-B6D066B3A536}"/>
            </c:ext>
          </c:extLst>
        </c:ser>
        <c:ser>
          <c:idx val="0"/>
          <c:order val="1"/>
          <c:tx>
            <c:strRef>
              <c:f>'Abmessungen ermitteln'!$L$57</c:f>
              <c:strCache>
                <c:ptCount val="1"/>
                <c:pt idx="0">
                  <c:v>HL-Streckung 8</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xVal>
            <c:numRef>
              <c:f>'Abmessungen ermitteln'!$M$56:$Q$56</c:f>
              <c:numCache>
                <c:formatCode>0.0</c:formatCode>
                <c:ptCount val="5"/>
                <c:pt idx="0">
                  <c:v>5</c:v>
                </c:pt>
                <c:pt idx="1">
                  <c:v>10</c:v>
                </c:pt>
                <c:pt idx="2">
                  <c:v>15</c:v>
                </c:pt>
                <c:pt idx="3">
                  <c:v>20</c:v>
                </c:pt>
                <c:pt idx="4">
                  <c:v>25</c:v>
                </c:pt>
              </c:numCache>
            </c:numRef>
          </c:xVal>
          <c:yVal>
            <c:numRef>
              <c:f>'Abmessungen ermitteln'!$M$57:$Q$57</c:f>
              <c:numCache>
                <c:formatCode>General</c:formatCode>
                <c:ptCount val="5"/>
                <c:pt idx="0">
                  <c:v>0.55600000000000005</c:v>
                </c:pt>
                <c:pt idx="1">
                  <c:v>0.58799999999999997</c:v>
                </c:pt>
                <c:pt idx="2">
                  <c:v>0.6</c:v>
                </c:pt>
                <c:pt idx="3">
                  <c:v>0.60050000000000003</c:v>
                </c:pt>
                <c:pt idx="4">
                  <c:v>0.60099999999999998</c:v>
                </c:pt>
              </c:numCache>
            </c:numRef>
          </c:yVal>
          <c:smooth val="1"/>
          <c:extLst>
            <c:ext xmlns:c16="http://schemas.microsoft.com/office/drawing/2014/chart" uri="{C3380CC4-5D6E-409C-BE32-E72D297353CC}">
              <c16:uniqueId val="{00000000-A60F-48A5-A21A-B6D066B3A536}"/>
            </c:ext>
          </c:extLst>
        </c:ser>
        <c:ser>
          <c:idx val="1"/>
          <c:order val="2"/>
          <c:tx>
            <c:strRef>
              <c:f>'Abmessungen ermitteln'!$L$58</c:f>
              <c:strCache>
                <c:ptCount val="1"/>
                <c:pt idx="0">
                  <c:v>HL-Streckung 7.5</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xVal>
            <c:numRef>
              <c:f>'Abmessungen ermitteln'!$M$56:$Q$56</c:f>
              <c:numCache>
                <c:formatCode>0.0</c:formatCode>
                <c:ptCount val="5"/>
                <c:pt idx="0">
                  <c:v>5</c:v>
                </c:pt>
                <c:pt idx="1">
                  <c:v>10</c:v>
                </c:pt>
                <c:pt idx="2">
                  <c:v>15</c:v>
                </c:pt>
                <c:pt idx="3">
                  <c:v>20</c:v>
                </c:pt>
                <c:pt idx="4">
                  <c:v>25</c:v>
                </c:pt>
              </c:numCache>
            </c:numRef>
          </c:xVal>
          <c:yVal>
            <c:numRef>
              <c:f>'Abmessungen ermitteln'!$M$58:$Q$58</c:f>
              <c:numCache>
                <c:formatCode>General</c:formatCode>
                <c:ptCount val="5"/>
                <c:pt idx="0">
                  <c:v>0.54800000000000004</c:v>
                </c:pt>
                <c:pt idx="1">
                  <c:v>0.57799999999999996</c:v>
                </c:pt>
                <c:pt idx="2">
                  <c:v>0.58799999999999997</c:v>
                </c:pt>
                <c:pt idx="3">
                  <c:v>0.58899999999999997</c:v>
                </c:pt>
                <c:pt idx="4">
                  <c:v>0.59</c:v>
                </c:pt>
              </c:numCache>
            </c:numRef>
          </c:yVal>
          <c:smooth val="1"/>
          <c:extLst>
            <c:ext xmlns:c16="http://schemas.microsoft.com/office/drawing/2014/chart" uri="{C3380CC4-5D6E-409C-BE32-E72D297353CC}">
              <c16:uniqueId val="{00000001-A60F-48A5-A21A-B6D066B3A536}"/>
            </c:ext>
          </c:extLst>
        </c:ser>
        <c:ser>
          <c:idx val="2"/>
          <c:order val="3"/>
          <c:tx>
            <c:strRef>
              <c:f>'Abmessungen ermitteln'!$L$59</c:f>
              <c:strCache>
                <c:ptCount val="1"/>
                <c:pt idx="0">
                  <c:v>HL-Streckung 7</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xVal>
            <c:numRef>
              <c:f>'Abmessungen ermitteln'!$M$56:$Q$56</c:f>
              <c:numCache>
                <c:formatCode>0.0</c:formatCode>
                <c:ptCount val="5"/>
                <c:pt idx="0">
                  <c:v>5</c:v>
                </c:pt>
                <c:pt idx="1">
                  <c:v>10</c:v>
                </c:pt>
                <c:pt idx="2">
                  <c:v>15</c:v>
                </c:pt>
                <c:pt idx="3">
                  <c:v>20</c:v>
                </c:pt>
                <c:pt idx="4">
                  <c:v>25</c:v>
                </c:pt>
              </c:numCache>
            </c:numRef>
          </c:xVal>
          <c:yVal>
            <c:numRef>
              <c:f>'Abmessungen ermitteln'!$M$59:$Q$59</c:f>
              <c:numCache>
                <c:formatCode>General</c:formatCode>
                <c:ptCount val="5"/>
                <c:pt idx="0">
                  <c:v>0.54</c:v>
                </c:pt>
                <c:pt idx="1">
                  <c:v>0.56799999999999995</c:v>
                </c:pt>
                <c:pt idx="2">
                  <c:v>0.57499999999999996</c:v>
                </c:pt>
                <c:pt idx="3">
                  <c:v>0.57599999999999996</c:v>
                </c:pt>
                <c:pt idx="4">
                  <c:v>0.57599999999999996</c:v>
                </c:pt>
              </c:numCache>
            </c:numRef>
          </c:yVal>
          <c:smooth val="1"/>
          <c:extLst>
            <c:ext xmlns:c16="http://schemas.microsoft.com/office/drawing/2014/chart" uri="{C3380CC4-5D6E-409C-BE32-E72D297353CC}">
              <c16:uniqueId val="{00000002-A60F-48A5-A21A-B6D066B3A536}"/>
            </c:ext>
          </c:extLst>
        </c:ser>
        <c:ser>
          <c:idx val="3"/>
          <c:order val="4"/>
          <c:tx>
            <c:strRef>
              <c:f>'Abmessungen ermitteln'!$L$60</c:f>
              <c:strCache>
                <c:ptCount val="1"/>
                <c:pt idx="0">
                  <c:v>HL-Streckung 6.5</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xVal>
            <c:numRef>
              <c:f>'Abmessungen ermitteln'!$M$56:$Q$56</c:f>
              <c:numCache>
                <c:formatCode>0.0</c:formatCode>
                <c:ptCount val="5"/>
                <c:pt idx="0">
                  <c:v>5</c:v>
                </c:pt>
                <c:pt idx="1">
                  <c:v>10</c:v>
                </c:pt>
                <c:pt idx="2">
                  <c:v>15</c:v>
                </c:pt>
                <c:pt idx="3">
                  <c:v>20</c:v>
                </c:pt>
                <c:pt idx="4">
                  <c:v>25</c:v>
                </c:pt>
              </c:numCache>
            </c:numRef>
          </c:xVal>
          <c:yVal>
            <c:numRef>
              <c:f>'Abmessungen ermitteln'!$M$60:$Q$60</c:f>
              <c:numCache>
                <c:formatCode>General</c:formatCode>
                <c:ptCount val="5"/>
                <c:pt idx="0">
                  <c:v>0.52500000000000002</c:v>
                </c:pt>
                <c:pt idx="1">
                  <c:v>0.55400000000000005</c:v>
                </c:pt>
                <c:pt idx="2">
                  <c:v>0.56399999999999995</c:v>
                </c:pt>
                <c:pt idx="3">
                  <c:v>0.56499999999999995</c:v>
                </c:pt>
                <c:pt idx="4">
                  <c:v>0.56499999999999995</c:v>
                </c:pt>
              </c:numCache>
            </c:numRef>
          </c:yVal>
          <c:smooth val="1"/>
          <c:extLst>
            <c:ext xmlns:c16="http://schemas.microsoft.com/office/drawing/2014/chart" uri="{C3380CC4-5D6E-409C-BE32-E72D297353CC}">
              <c16:uniqueId val="{00000003-A60F-48A5-A21A-B6D066B3A536}"/>
            </c:ext>
          </c:extLst>
        </c:ser>
        <c:ser>
          <c:idx val="4"/>
          <c:order val="5"/>
          <c:tx>
            <c:strRef>
              <c:f>'Abmessungen ermitteln'!$L$61</c:f>
              <c:strCache>
                <c:ptCount val="1"/>
                <c:pt idx="0">
                  <c:v>HL-Streckung 6</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xVal>
            <c:numRef>
              <c:f>'Abmessungen ermitteln'!$M$56:$Q$56</c:f>
              <c:numCache>
                <c:formatCode>0.0</c:formatCode>
                <c:ptCount val="5"/>
                <c:pt idx="0">
                  <c:v>5</c:v>
                </c:pt>
                <c:pt idx="1">
                  <c:v>10</c:v>
                </c:pt>
                <c:pt idx="2">
                  <c:v>15</c:v>
                </c:pt>
                <c:pt idx="3">
                  <c:v>20</c:v>
                </c:pt>
                <c:pt idx="4">
                  <c:v>25</c:v>
                </c:pt>
              </c:numCache>
            </c:numRef>
          </c:xVal>
          <c:yVal>
            <c:numRef>
              <c:f>'Abmessungen ermitteln'!$M$61:$Q$61</c:f>
              <c:numCache>
                <c:formatCode>General</c:formatCode>
                <c:ptCount val="5"/>
                <c:pt idx="0">
                  <c:v>0.51</c:v>
                </c:pt>
                <c:pt idx="1">
                  <c:v>0.54</c:v>
                </c:pt>
                <c:pt idx="2">
                  <c:v>0.54900000000000004</c:v>
                </c:pt>
                <c:pt idx="3">
                  <c:v>0.55000000000000004</c:v>
                </c:pt>
                <c:pt idx="4">
                  <c:v>0.55000000000000004</c:v>
                </c:pt>
              </c:numCache>
            </c:numRef>
          </c:yVal>
          <c:smooth val="1"/>
          <c:extLst>
            <c:ext xmlns:c16="http://schemas.microsoft.com/office/drawing/2014/chart" uri="{C3380CC4-5D6E-409C-BE32-E72D297353CC}">
              <c16:uniqueId val="{00000004-A60F-48A5-A21A-B6D066B3A536}"/>
            </c:ext>
          </c:extLst>
        </c:ser>
        <c:ser>
          <c:idx val="5"/>
          <c:order val="6"/>
          <c:tx>
            <c:strRef>
              <c:f>'Abmessungen ermitteln'!$L$62</c:f>
              <c:strCache>
                <c:ptCount val="1"/>
                <c:pt idx="0">
                  <c:v>HL-Streckung 5.5</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xVal>
            <c:numRef>
              <c:f>'Abmessungen ermitteln'!$M$56:$Q$56</c:f>
              <c:numCache>
                <c:formatCode>0.0</c:formatCode>
                <c:ptCount val="5"/>
                <c:pt idx="0">
                  <c:v>5</c:v>
                </c:pt>
                <c:pt idx="1">
                  <c:v>10</c:v>
                </c:pt>
                <c:pt idx="2">
                  <c:v>15</c:v>
                </c:pt>
                <c:pt idx="3">
                  <c:v>20</c:v>
                </c:pt>
                <c:pt idx="4">
                  <c:v>25</c:v>
                </c:pt>
              </c:numCache>
            </c:numRef>
          </c:xVal>
          <c:yVal>
            <c:numRef>
              <c:f>'Abmessungen ermitteln'!$M$62:$Q$62</c:f>
              <c:numCache>
                <c:formatCode>General</c:formatCode>
                <c:ptCount val="5"/>
                <c:pt idx="0">
                  <c:v>0.496</c:v>
                </c:pt>
                <c:pt idx="1">
                  <c:v>0.52200000000000002</c:v>
                </c:pt>
                <c:pt idx="2">
                  <c:v>0.53200000000000003</c:v>
                </c:pt>
                <c:pt idx="3">
                  <c:v>0.53300000000000003</c:v>
                </c:pt>
                <c:pt idx="4">
                  <c:v>0.53300000000000003</c:v>
                </c:pt>
              </c:numCache>
            </c:numRef>
          </c:yVal>
          <c:smooth val="1"/>
          <c:extLst>
            <c:ext xmlns:c16="http://schemas.microsoft.com/office/drawing/2014/chart" uri="{C3380CC4-5D6E-409C-BE32-E72D297353CC}">
              <c16:uniqueId val="{00000011-A60F-48A5-A21A-B6D066B3A536}"/>
            </c:ext>
          </c:extLst>
        </c:ser>
        <c:ser>
          <c:idx val="6"/>
          <c:order val="7"/>
          <c:tx>
            <c:strRef>
              <c:f>'Abmessungen ermitteln'!$L$63</c:f>
              <c:strCache>
                <c:ptCount val="1"/>
                <c:pt idx="0">
                  <c:v>HL-Streckung 5</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numRef>
              <c:f>'Abmessungen ermitteln'!$M$56:$Q$56</c:f>
              <c:numCache>
                <c:formatCode>0.0</c:formatCode>
                <c:ptCount val="5"/>
                <c:pt idx="0">
                  <c:v>5</c:v>
                </c:pt>
                <c:pt idx="1">
                  <c:v>10</c:v>
                </c:pt>
                <c:pt idx="2">
                  <c:v>15</c:v>
                </c:pt>
                <c:pt idx="3">
                  <c:v>20</c:v>
                </c:pt>
                <c:pt idx="4">
                  <c:v>25</c:v>
                </c:pt>
              </c:numCache>
            </c:numRef>
          </c:xVal>
          <c:yVal>
            <c:numRef>
              <c:f>'Abmessungen ermitteln'!$M$63:$Q$63</c:f>
              <c:numCache>
                <c:formatCode>General</c:formatCode>
                <c:ptCount val="5"/>
                <c:pt idx="0">
                  <c:v>0.47799999999999998</c:v>
                </c:pt>
                <c:pt idx="1">
                  <c:v>0.50600000000000001</c:v>
                </c:pt>
                <c:pt idx="2">
                  <c:v>0.51400000000000001</c:v>
                </c:pt>
                <c:pt idx="3">
                  <c:v>0.51549999999999996</c:v>
                </c:pt>
                <c:pt idx="4">
                  <c:v>0.51600000000000001</c:v>
                </c:pt>
              </c:numCache>
            </c:numRef>
          </c:yVal>
          <c:smooth val="1"/>
          <c:extLst>
            <c:ext xmlns:c16="http://schemas.microsoft.com/office/drawing/2014/chart" uri="{C3380CC4-5D6E-409C-BE32-E72D297353CC}">
              <c16:uniqueId val="{00000012-A60F-48A5-A21A-B6D066B3A536}"/>
            </c:ext>
          </c:extLst>
        </c:ser>
        <c:ser>
          <c:idx val="7"/>
          <c:order val="8"/>
          <c:tx>
            <c:strRef>
              <c:f>'Abmessungen ermitteln'!$L$64</c:f>
              <c:strCache>
                <c:ptCount val="1"/>
                <c:pt idx="0">
                  <c:v>HL-Streckung 4.5</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numRef>
              <c:f>'Abmessungen ermitteln'!$M$56:$Q$56</c:f>
              <c:numCache>
                <c:formatCode>0.0</c:formatCode>
                <c:ptCount val="5"/>
                <c:pt idx="0">
                  <c:v>5</c:v>
                </c:pt>
                <c:pt idx="1">
                  <c:v>10</c:v>
                </c:pt>
                <c:pt idx="2">
                  <c:v>15</c:v>
                </c:pt>
                <c:pt idx="3">
                  <c:v>20</c:v>
                </c:pt>
                <c:pt idx="4">
                  <c:v>25</c:v>
                </c:pt>
              </c:numCache>
            </c:numRef>
          </c:xVal>
          <c:yVal>
            <c:numRef>
              <c:f>'Abmessungen ermitteln'!$M$64:$Q$64</c:f>
              <c:numCache>
                <c:formatCode>General</c:formatCode>
                <c:ptCount val="5"/>
                <c:pt idx="0">
                  <c:v>0.46100000000000002</c:v>
                </c:pt>
                <c:pt idx="1">
                  <c:v>0.48599999999999999</c:v>
                </c:pt>
                <c:pt idx="2">
                  <c:v>0.49399999999999999</c:v>
                </c:pt>
                <c:pt idx="3">
                  <c:v>0.495</c:v>
                </c:pt>
                <c:pt idx="4">
                  <c:v>0.496</c:v>
                </c:pt>
              </c:numCache>
            </c:numRef>
          </c:yVal>
          <c:smooth val="1"/>
          <c:extLst>
            <c:ext xmlns:c16="http://schemas.microsoft.com/office/drawing/2014/chart" uri="{C3380CC4-5D6E-409C-BE32-E72D297353CC}">
              <c16:uniqueId val="{00000013-A60F-48A5-A21A-B6D066B3A536}"/>
            </c:ext>
          </c:extLst>
        </c:ser>
        <c:ser>
          <c:idx val="8"/>
          <c:order val="9"/>
          <c:tx>
            <c:strRef>
              <c:f>'Abmessungen ermitteln'!$L$65</c:f>
              <c:strCache>
                <c:ptCount val="1"/>
                <c:pt idx="0">
                  <c:v>HL-Streckung 4</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numRef>
              <c:f>'Abmessungen ermitteln'!$M$56:$Q$56</c:f>
              <c:numCache>
                <c:formatCode>0.0</c:formatCode>
                <c:ptCount val="5"/>
                <c:pt idx="0">
                  <c:v>5</c:v>
                </c:pt>
                <c:pt idx="1">
                  <c:v>10</c:v>
                </c:pt>
                <c:pt idx="2">
                  <c:v>15</c:v>
                </c:pt>
                <c:pt idx="3">
                  <c:v>20</c:v>
                </c:pt>
                <c:pt idx="4">
                  <c:v>25</c:v>
                </c:pt>
              </c:numCache>
            </c:numRef>
          </c:xVal>
          <c:yVal>
            <c:numRef>
              <c:f>'Abmessungen ermitteln'!$M$65:$Q$65</c:f>
              <c:numCache>
                <c:formatCode>General</c:formatCode>
                <c:ptCount val="5"/>
                <c:pt idx="0">
                  <c:v>0.43330000000000002</c:v>
                </c:pt>
                <c:pt idx="1">
                  <c:v>0.46250000000000002</c:v>
                </c:pt>
                <c:pt idx="2">
                  <c:v>0.47</c:v>
                </c:pt>
                <c:pt idx="3">
                  <c:v>0.47</c:v>
                </c:pt>
                <c:pt idx="4">
                  <c:v>0.47</c:v>
                </c:pt>
              </c:numCache>
            </c:numRef>
          </c:yVal>
          <c:smooth val="1"/>
          <c:extLst>
            <c:ext xmlns:c16="http://schemas.microsoft.com/office/drawing/2014/chart" uri="{C3380CC4-5D6E-409C-BE32-E72D297353CC}">
              <c16:uniqueId val="{00000014-A60F-48A5-A21A-B6D066B3A536}"/>
            </c:ext>
          </c:extLst>
        </c:ser>
        <c:ser>
          <c:idx val="9"/>
          <c:order val="10"/>
          <c:tx>
            <c:strRef>
              <c:f>'Abmessungen ermitteln'!$L$66</c:f>
              <c:strCache>
                <c:ptCount val="1"/>
                <c:pt idx="0">
                  <c:v>HL-Streckung 3.5</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numRef>
              <c:f>'Abmessungen ermitteln'!$M$56:$Q$56</c:f>
              <c:numCache>
                <c:formatCode>0.0</c:formatCode>
                <c:ptCount val="5"/>
                <c:pt idx="0">
                  <c:v>5</c:v>
                </c:pt>
                <c:pt idx="1">
                  <c:v>10</c:v>
                </c:pt>
                <c:pt idx="2">
                  <c:v>15</c:v>
                </c:pt>
                <c:pt idx="3">
                  <c:v>20</c:v>
                </c:pt>
                <c:pt idx="4">
                  <c:v>25</c:v>
                </c:pt>
              </c:numCache>
            </c:numRef>
          </c:xVal>
          <c:yVal>
            <c:numRef>
              <c:f>'Abmessungen ermitteln'!$M$66:$Q$66</c:f>
              <c:numCache>
                <c:formatCode>General</c:formatCode>
                <c:ptCount val="5"/>
                <c:pt idx="0">
                  <c:v>0.40250000000000002</c:v>
                </c:pt>
                <c:pt idx="1">
                  <c:v>0.43375000000000002</c:v>
                </c:pt>
                <c:pt idx="2">
                  <c:v>0.44500000000000001</c:v>
                </c:pt>
                <c:pt idx="3">
                  <c:v>0.44500000000000001</c:v>
                </c:pt>
                <c:pt idx="4">
                  <c:v>0.44500000000000001</c:v>
                </c:pt>
              </c:numCache>
            </c:numRef>
          </c:yVal>
          <c:smooth val="1"/>
          <c:extLst>
            <c:ext xmlns:c16="http://schemas.microsoft.com/office/drawing/2014/chart" uri="{C3380CC4-5D6E-409C-BE32-E72D297353CC}">
              <c16:uniqueId val="{00000015-A60F-48A5-A21A-B6D066B3A536}"/>
            </c:ext>
          </c:extLst>
        </c:ser>
        <c:ser>
          <c:idx val="10"/>
          <c:order val="11"/>
          <c:tx>
            <c:strRef>
              <c:f>'Abmessungen ermitteln'!$L$67</c:f>
              <c:strCache>
                <c:ptCount val="1"/>
                <c:pt idx="0">
                  <c:v>HL-Streckung 3</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xVal>
            <c:numRef>
              <c:f>'Abmessungen ermitteln'!$M$56:$Q$56</c:f>
              <c:numCache>
                <c:formatCode>0.0</c:formatCode>
                <c:ptCount val="5"/>
                <c:pt idx="0">
                  <c:v>5</c:v>
                </c:pt>
                <c:pt idx="1">
                  <c:v>10</c:v>
                </c:pt>
                <c:pt idx="2">
                  <c:v>15</c:v>
                </c:pt>
                <c:pt idx="3">
                  <c:v>20</c:v>
                </c:pt>
                <c:pt idx="4">
                  <c:v>25</c:v>
                </c:pt>
              </c:numCache>
            </c:numRef>
          </c:xVal>
          <c:yVal>
            <c:numRef>
              <c:f>'Abmessungen ermitteln'!$M$67:$Q$67</c:f>
              <c:numCache>
                <c:formatCode>General</c:formatCode>
                <c:ptCount val="5"/>
                <c:pt idx="0">
                  <c:v>0.37659999999999999</c:v>
                </c:pt>
                <c:pt idx="1">
                  <c:v>0.39833000000000002</c:v>
                </c:pt>
                <c:pt idx="2">
                  <c:v>0.40500000000000003</c:v>
                </c:pt>
                <c:pt idx="3">
                  <c:v>0.40749999999999997</c:v>
                </c:pt>
                <c:pt idx="4">
                  <c:v>0.40749999999999997</c:v>
                </c:pt>
              </c:numCache>
            </c:numRef>
          </c:yVal>
          <c:smooth val="1"/>
          <c:extLst>
            <c:ext xmlns:c16="http://schemas.microsoft.com/office/drawing/2014/chart" uri="{C3380CC4-5D6E-409C-BE32-E72D297353CC}">
              <c16:uniqueId val="{00000016-A60F-48A5-A21A-B6D066B3A536}"/>
            </c:ext>
          </c:extLst>
        </c:ser>
        <c:dLbls>
          <c:showLegendKey val="0"/>
          <c:showVal val="0"/>
          <c:showCatName val="0"/>
          <c:showSerName val="0"/>
          <c:showPercent val="0"/>
          <c:showBubbleSize val="0"/>
        </c:dLbls>
        <c:axId val="381475264"/>
        <c:axId val="381475920"/>
      </c:scatterChart>
      <c:valAx>
        <c:axId val="381475264"/>
        <c:scaling>
          <c:orientation val="minMax"/>
          <c:max val="25"/>
          <c:min val="5"/>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strRef>
              <c:f>'Abmessungen ermitteln'!$M$55</c:f>
              <c:strCache>
                <c:ptCount val="1"/>
                <c:pt idx="0">
                  <c:v>Flügel-Streckung</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81475920"/>
        <c:crosses val="autoZero"/>
        <c:crossBetween val="midCat"/>
      </c:valAx>
      <c:valAx>
        <c:axId val="381475920"/>
        <c:scaling>
          <c:orientation val="minMax"/>
          <c:min val="0.35000000000000003"/>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strRef>
              <c:f>'Abmessungen ermitteln'!$L$53</c:f>
              <c:strCache>
                <c:ptCount val="1"/>
                <c:pt idx="0">
                  <c:v>Berichtigungsfaktor Höhenleitwerk</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81475264"/>
        <c:crosses val="autoZero"/>
        <c:crossBetween val="midCat"/>
      </c:valAx>
      <c:spPr>
        <a:noFill/>
        <a:ln>
          <a:noFill/>
        </a:ln>
        <a:effectLst/>
      </c:spPr>
    </c:plotArea>
    <c:legend>
      <c:legendPos val="r"/>
      <c:layout>
        <c:manualLayout>
          <c:xMode val="edge"/>
          <c:yMode val="edge"/>
          <c:x val="0.78068196945559365"/>
          <c:y val="0.16091775575492123"/>
          <c:w val="0.20923098926905545"/>
          <c:h val="0.579084371283031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'Kontur-Kontrolle'!$M$3</c:f>
          <c:strCache>
            <c:ptCount val="1"/>
            <c:pt idx="0">
              <c:v>Dimensionskontrolle Draufsicht</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0.15858662417886168"/>
          <c:y val="7.2069500319714735E-2"/>
          <c:w val="0.78035690903130295"/>
          <c:h val="0.91565290167011237"/>
        </c:manualLayout>
      </c:layout>
      <c:scatterChart>
        <c:scatterStyle val="lineMarker"/>
        <c:varyColors val="0"/>
        <c:ser>
          <c:idx val="0"/>
          <c:order val="0"/>
          <c:tx>
            <c:strRef>
              <c:f>'Kontur-Kontrolle'!$M$8</c:f>
              <c:strCache>
                <c:ptCount val="1"/>
                <c:pt idx="0">
                  <c:v>Limiten</c:v>
                </c:pt>
              </c:strCache>
            </c:strRef>
          </c:tx>
          <c:spPr>
            <a:ln w="19050" cap="rnd">
              <a:solidFill>
                <a:schemeClr val="accent1"/>
              </a:solidFill>
              <a:round/>
            </a:ln>
            <a:effectLst/>
          </c:spPr>
          <c:marker>
            <c:symbol val="none"/>
          </c:marker>
          <c:xVal>
            <c:numRef>
              <c:f>'Kontur-Kontrolle'!$N$7:$Z$7</c:f>
              <c:numCache>
                <c:formatCode>General</c:formatCode>
                <c:ptCount val="13"/>
                <c:pt idx="0">
                  <c:v>0</c:v>
                </c:pt>
                <c:pt idx="1">
                  <c:v>0</c:v>
                </c:pt>
                <c:pt idx="2">
                  <c:v>190</c:v>
                </c:pt>
                <c:pt idx="3" formatCode="General&quot; mm&quot;">
                  <c:v>205</c:v>
                </c:pt>
                <c:pt idx="4" formatCode="General&quot; mm&quot;">
                  <c:v>335</c:v>
                </c:pt>
                <c:pt idx="5" formatCode="General&quot; mm&quot;">
                  <c:v>350</c:v>
                </c:pt>
                <c:pt idx="6" formatCode="General&quot; mm&quot;">
                  <c:v>350</c:v>
                </c:pt>
                <c:pt idx="7" formatCode="General&quot; mm&quot;">
                  <c:v>609.01376316531832</c:v>
                </c:pt>
                <c:pt idx="8" formatCode="General&quot; mm&quot;">
                  <c:v>609.01376316531832</c:v>
                </c:pt>
                <c:pt idx="9" formatCode="General&quot; mm&quot;">
                  <c:v>654.01376316531832</c:v>
                </c:pt>
                <c:pt idx="10" formatCode="General&quot; mm&quot;">
                  <c:v>729.01376316531832</c:v>
                </c:pt>
                <c:pt idx="11" formatCode="General&quot; mm&quot;">
                  <c:v>729.01376316531832</c:v>
                </c:pt>
                <c:pt idx="12">
                  <c:v>700</c:v>
                </c:pt>
              </c:numCache>
            </c:numRef>
          </c:xVal>
          <c:yVal>
            <c:numRef>
              <c:f>'Kontur-Kontrolle'!$N$8:$Z$8</c:f>
              <c:numCache>
                <c:formatCode>General</c:formatCode>
                <c:ptCount val="13"/>
                <c:pt idx="0" formatCode="General&quot; mm&quot;">
                  <c:v>700</c:v>
                </c:pt>
                <c:pt idx="12">
                  <c:v>700</c:v>
                </c:pt>
              </c:numCache>
            </c:numRef>
          </c:yVal>
          <c:smooth val="0"/>
          <c:extLst>
            <c:ext xmlns:c16="http://schemas.microsoft.com/office/drawing/2014/chart" uri="{C3380CC4-5D6E-409C-BE32-E72D297353CC}">
              <c16:uniqueId val="{00000000-5907-48D5-AFA0-6E754F95A794}"/>
            </c:ext>
          </c:extLst>
        </c:ser>
        <c:ser>
          <c:idx val="1"/>
          <c:order val="1"/>
          <c:tx>
            <c:strRef>
              <c:f>'Kontur-Kontrolle'!$M$9</c:f>
              <c:strCache>
                <c:ptCount val="1"/>
                <c:pt idx="0">
                  <c:v>Limiten gesp.</c:v>
                </c:pt>
              </c:strCache>
            </c:strRef>
          </c:tx>
          <c:spPr>
            <a:ln w="19050" cap="rnd">
              <a:solidFill>
                <a:schemeClr val="accent2"/>
              </a:solidFill>
              <a:round/>
            </a:ln>
            <a:effectLst/>
          </c:spPr>
          <c:marker>
            <c:symbol val="none"/>
          </c:marker>
          <c:xVal>
            <c:numRef>
              <c:f>'Kontur-Kontrolle'!$N$7:$Z$7</c:f>
              <c:numCache>
                <c:formatCode>General</c:formatCode>
                <c:ptCount val="13"/>
                <c:pt idx="0">
                  <c:v>0</c:v>
                </c:pt>
                <c:pt idx="1">
                  <c:v>0</c:v>
                </c:pt>
                <c:pt idx="2">
                  <c:v>190</c:v>
                </c:pt>
                <c:pt idx="3" formatCode="General&quot; mm&quot;">
                  <c:v>205</c:v>
                </c:pt>
                <c:pt idx="4" formatCode="General&quot; mm&quot;">
                  <c:v>335</c:v>
                </c:pt>
                <c:pt idx="5" formatCode="General&quot; mm&quot;">
                  <c:v>350</c:v>
                </c:pt>
                <c:pt idx="6" formatCode="General&quot; mm&quot;">
                  <c:v>350</c:v>
                </c:pt>
                <c:pt idx="7" formatCode="General&quot; mm&quot;">
                  <c:v>609.01376316531832</c:v>
                </c:pt>
                <c:pt idx="8" formatCode="General&quot; mm&quot;">
                  <c:v>609.01376316531832</c:v>
                </c:pt>
                <c:pt idx="9" formatCode="General&quot; mm&quot;">
                  <c:v>654.01376316531832</c:v>
                </c:pt>
                <c:pt idx="10" formatCode="General&quot; mm&quot;">
                  <c:v>729.01376316531832</c:v>
                </c:pt>
                <c:pt idx="11" formatCode="General&quot; mm&quot;">
                  <c:v>729.01376316531832</c:v>
                </c:pt>
                <c:pt idx="12">
                  <c:v>700</c:v>
                </c:pt>
              </c:numCache>
            </c:numRef>
          </c:xVal>
          <c:yVal>
            <c:numRef>
              <c:f>'Kontur-Kontrolle'!$N$9:$Z$9</c:f>
              <c:numCache>
                <c:formatCode>General</c:formatCode>
                <c:ptCount val="13"/>
                <c:pt idx="0">
                  <c:v>-700</c:v>
                </c:pt>
                <c:pt idx="12">
                  <c:v>-700</c:v>
                </c:pt>
              </c:numCache>
            </c:numRef>
          </c:yVal>
          <c:smooth val="0"/>
          <c:extLst>
            <c:ext xmlns:c16="http://schemas.microsoft.com/office/drawing/2014/chart" uri="{C3380CC4-5D6E-409C-BE32-E72D297353CC}">
              <c16:uniqueId val="{00000001-5907-48D5-AFA0-6E754F95A794}"/>
            </c:ext>
          </c:extLst>
        </c:ser>
        <c:ser>
          <c:idx val="2"/>
          <c:order val="2"/>
          <c:tx>
            <c:strRef>
              <c:f>'Kontur-Kontrolle'!$M$10</c:f>
              <c:strCache>
                <c:ptCount val="1"/>
                <c:pt idx="0">
                  <c:v>Rumpf</c:v>
                </c:pt>
              </c:strCache>
            </c:strRef>
          </c:tx>
          <c:spPr>
            <a:ln w="19050" cap="rnd">
              <a:solidFill>
                <a:schemeClr val="accent3"/>
              </a:solidFill>
              <a:round/>
            </a:ln>
            <a:effectLst/>
          </c:spPr>
          <c:marker>
            <c:symbol val="none"/>
          </c:marker>
          <c:xVal>
            <c:numRef>
              <c:f>'Kontur-Kontrolle'!$N$7:$Z$7</c:f>
              <c:numCache>
                <c:formatCode>General</c:formatCode>
                <c:ptCount val="13"/>
                <c:pt idx="0">
                  <c:v>0</c:v>
                </c:pt>
                <c:pt idx="1">
                  <c:v>0</c:v>
                </c:pt>
                <c:pt idx="2">
                  <c:v>190</c:v>
                </c:pt>
                <c:pt idx="3" formatCode="General&quot; mm&quot;">
                  <c:v>205</c:v>
                </c:pt>
                <c:pt idx="4" formatCode="General&quot; mm&quot;">
                  <c:v>335</c:v>
                </c:pt>
                <c:pt idx="5" formatCode="General&quot; mm&quot;">
                  <c:v>350</c:v>
                </c:pt>
                <c:pt idx="6" formatCode="General&quot; mm&quot;">
                  <c:v>350</c:v>
                </c:pt>
                <c:pt idx="7" formatCode="General&quot; mm&quot;">
                  <c:v>609.01376316531832</c:v>
                </c:pt>
                <c:pt idx="8" formatCode="General&quot; mm&quot;">
                  <c:v>609.01376316531832</c:v>
                </c:pt>
                <c:pt idx="9" formatCode="General&quot; mm&quot;">
                  <c:v>654.01376316531832</c:v>
                </c:pt>
                <c:pt idx="10" formatCode="General&quot; mm&quot;">
                  <c:v>729.01376316531832</c:v>
                </c:pt>
                <c:pt idx="11" formatCode="General&quot; mm&quot;">
                  <c:v>729.01376316531832</c:v>
                </c:pt>
                <c:pt idx="12">
                  <c:v>700</c:v>
                </c:pt>
              </c:numCache>
            </c:numRef>
          </c:xVal>
          <c:yVal>
            <c:numRef>
              <c:f>'Kontur-Kontrolle'!$N$10:$Z$10</c:f>
              <c:numCache>
                <c:formatCode>General</c:formatCode>
                <c:ptCount val="13"/>
                <c:pt idx="1">
                  <c:v>20</c:v>
                </c:pt>
                <c:pt idx="2">
                  <c:v>25</c:v>
                </c:pt>
                <c:pt idx="6">
                  <c:v>25</c:v>
                </c:pt>
                <c:pt idx="7">
                  <c:v>10</c:v>
                </c:pt>
              </c:numCache>
            </c:numRef>
          </c:yVal>
          <c:smooth val="0"/>
          <c:extLst>
            <c:ext xmlns:c16="http://schemas.microsoft.com/office/drawing/2014/chart" uri="{C3380CC4-5D6E-409C-BE32-E72D297353CC}">
              <c16:uniqueId val="{00000002-5907-48D5-AFA0-6E754F95A794}"/>
            </c:ext>
          </c:extLst>
        </c:ser>
        <c:ser>
          <c:idx val="3"/>
          <c:order val="3"/>
          <c:tx>
            <c:strRef>
              <c:f>'Kontur-Kontrolle'!$M$11</c:f>
              <c:strCache>
                <c:ptCount val="1"/>
                <c:pt idx="0">
                  <c:v>Rumpf gesp.</c:v>
                </c:pt>
              </c:strCache>
            </c:strRef>
          </c:tx>
          <c:spPr>
            <a:ln w="19050" cap="rnd">
              <a:solidFill>
                <a:schemeClr val="accent4"/>
              </a:solidFill>
              <a:round/>
            </a:ln>
            <a:effectLst/>
          </c:spPr>
          <c:marker>
            <c:symbol val="none"/>
          </c:marker>
          <c:xVal>
            <c:numRef>
              <c:f>'Kontur-Kontrolle'!$N$7:$Z$7</c:f>
              <c:numCache>
                <c:formatCode>General</c:formatCode>
                <c:ptCount val="13"/>
                <c:pt idx="0">
                  <c:v>0</c:v>
                </c:pt>
                <c:pt idx="1">
                  <c:v>0</c:v>
                </c:pt>
                <c:pt idx="2">
                  <c:v>190</c:v>
                </c:pt>
                <c:pt idx="3" formatCode="General&quot; mm&quot;">
                  <c:v>205</c:v>
                </c:pt>
                <c:pt idx="4" formatCode="General&quot; mm&quot;">
                  <c:v>335</c:v>
                </c:pt>
                <c:pt idx="5" formatCode="General&quot; mm&quot;">
                  <c:v>350</c:v>
                </c:pt>
                <c:pt idx="6" formatCode="General&quot; mm&quot;">
                  <c:v>350</c:v>
                </c:pt>
                <c:pt idx="7" formatCode="General&quot; mm&quot;">
                  <c:v>609.01376316531832</c:v>
                </c:pt>
                <c:pt idx="8" formatCode="General&quot; mm&quot;">
                  <c:v>609.01376316531832</c:v>
                </c:pt>
                <c:pt idx="9" formatCode="General&quot; mm&quot;">
                  <c:v>654.01376316531832</c:v>
                </c:pt>
                <c:pt idx="10" formatCode="General&quot; mm&quot;">
                  <c:v>729.01376316531832</c:v>
                </c:pt>
                <c:pt idx="11" formatCode="General&quot; mm&quot;">
                  <c:v>729.01376316531832</c:v>
                </c:pt>
                <c:pt idx="12">
                  <c:v>700</c:v>
                </c:pt>
              </c:numCache>
            </c:numRef>
          </c:xVal>
          <c:yVal>
            <c:numRef>
              <c:f>'Kontur-Kontrolle'!$N$11:$Z$11</c:f>
              <c:numCache>
                <c:formatCode>General</c:formatCode>
                <c:ptCount val="13"/>
                <c:pt idx="1">
                  <c:v>-20</c:v>
                </c:pt>
                <c:pt idx="2">
                  <c:v>-25</c:v>
                </c:pt>
                <c:pt idx="6">
                  <c:v>-25</c:v>
                </c:pt>
                <c:pt idx="7">
                  <c:v>-10</c:v>
                </c:pt>
              </c:numCache>
            </c:numRef>
          </c:yVal>
          <c:smooth val="0"/>
          <c:extLst>
            <c:ext xmlns:c16="http://schemas.microsoft.com/office/drawing/2014/chart" uri="{C3380CC4-5D6E-409C-BE32-E72D297353CC}">
              <c16:uniqueId val="{00000003-5907-48D5-AFA0-6E754F95A794}"/>
            </c:ext>
          </c:extLst>
        </c:ser>
        <c:ser>
          <c:idx val="4"/>
          <c:order val="4"/>
          <c:tx>
            <c:strRef>
              <c:f>'Kontur-Kontrolle'!$M$12</c:f>
              <c:strCache>
                <c:ptCount val="1"/>
                <c:pt idx="0">
                  <c:v>Flügel</c:v>
                </c:pt>
              </c:strCache>
            </c:strRef>
          </c:tx>
          <c:spPr>
            <a:ln w="19050" cap="rnd">
              <a:solidFill>
                <a:schemeClr val="accent5"/>
              </a:solidFill>
              <a:round/>
            </a:ln>
            <a:effectLst/>
          </c:spPr>
          <c:marker>
            <c:symbol val="none"/>
          </c:marker>
          <c:xVal>
            <c:numRef>
              <c:f>'Kontur-Kontrolle'!$N$7:$Z$7</c:f>
              <c:numCache>
                <c:formatCode>General</c:formatCode>
                <c:ptCount val="13"/>
                <c:pt idx="0">
                  <c:v>0</c:v>
                </c:pt>
                <c:pt idx="1">
                  <c:v>0</c:v>
                </c:pt>
                <c:pt idx="2">
                  <c:v>190</c:v>
                </c:pt>
                <c:pt idx="3" formatCode="General&quot; mm&quot;">
                  <c:v>205</c:v>
                </c:pt>
                <c:pt idx="4" formatCode="General&quot; mm&quot;">
                  <c:v>335</c:v>
                </c:pt>
                <c:pt idx="5" formatCode="General&quot; mm&quot;">
                  <c:v>350</c:v>
                </c:pt>
                <c:pt idx="6" formatCode="General&quot; mm&quot;">
                  <c:v>350</c:v>
                </c:pt>
                <c:pt idx="7" formatCode="General&quot; mm&quot;">
                  <c:v>609.01376316531832</c:v>
                </c:pt>
                <c:pt idx="8" formatCode="General&quot; mm&quot;">
                  <c:v>609.01376316531832</c:v>
                </c:pt>
                <c:pt idx="9" formatCode="General&quot; mm&quot;">
                  <c:v>654.01376316531832</c:v>
                </c:pt>
                <c:pt idx="10" formatCode="General&quot; mm&quot;">
                  <c:v>729.01376316531832</c:v>
                </c:pt>
                <c:pt idx="11" formatCode="General&quot; mm&quot;">
                  <c:v>729.01376316531832</c:v>
                </c:pt>
                <c:pt idx="12">
                  <c:v>700</c:v>
                </c:pt>
              </c:numCache>
            </c:numRef>
          </c:xVal>
          <c:yVal>
            <c:numRef>
              <c:f>'Kontur-Kontrolle'!$N$12:$Z$12</c:f>
              <c:numCache>
                <c:formatCode>General</c:formatCode>
                <c:ptCount val="13"/>
                <c:pt idx="2">
                  <c:v>25</c:v>
                </c:pt>
                <c:pt idx="3" formatCode="General&quot; mm&quot;">
                  <c:v>700</c:v>
                </c:pt>
                <c:pt idx="4">
                  <c:v>700</c:v>
                </c:pt>
                <c:pt idx="5">
                  <c:v>25</c:v>
                </c:pt>
              </c:numCache>
            </c:numRef>
          </c:yVal>
          <c:smooth val="0"/>
          <c:extLst>
            <c:ext xmlns:c16="http://schemas.microsoft.com/office/drawing/2014/chart" uri="{C3380CC4-5D6E-409C-BE32-E72D297353CC}">
              <c16:uniqueId val="{00000004-5907-48D5-AFA0-6E754F95A794}"/>
            </c:ext>
          </c:extLst>
        </c:ser>
        <c:ser>
          <c:idx val="5"/>
          <c:order val="5"/>
          <c:tx>
            <c:strRef>
              <c:f>'Kontur-Kontrolle'!$M$13</c:f>
              <c:strCache>
                <c:ptCount val="1"/>
                <c:pt idx="0">
                  <c:v>Flügel gesp.</c:v>
                </c:pt>
              </c:strCache>
            </c:strRef>
          </c:tx>
          <c:spPr>
            <a:ln w="19050" cap="rnd">
              <a:solidFill>
                <a:schemeClr val="accent6"/>
              </a:solidFill>
              <a:round/>
            </a:ln>
            <a:effectLst/>
          </c:spPr>
          <c:marker>
            <c:symbol val="none"/>
          </c:marker>
          <c:xVal>
            <c:numRef>
              <c:f>'Kontur-Kontrolle'!$N$7:$Z$7</c:f>
              <c:numCache>
                <c:formatCode>General</c:formatCode>
                <c:ptCount val="13"/>
                <c:pt idx="0">
                  <c:v>0</c:v>
                </c:pt>
                <c:pt idx="1">
                  <c:v>0</c:v>
                </c:pt>
                <c:pt idx="2">
                  <c:v>190</c:v>
                </c:pt>
                <c:pt idx="3" formatCode="General&quot; mm&quot;">
                  <c:v>205</c:v>
                </c:pt>
                <c:pt idx="4" formatCode="General&quot; mm&quot;">
                  <c:v>335</c:v>
                </c:pt>
                <c:pt idx="5" formatCode="General&quot; mm&quot;">
                  <c:v>350</c:v>
                </c:pt>
                <c:pt idx="6" formatCode="General&quot; mm&quot;">
                  <c:v>350</c:v>
                </c:pt>
                <c:pt idx="7" formatCode="General&quot; mm&quot;">
                  <c:v>609.01376316531832</c:v>
                </c:pt>
                <c:pt idx="8" formatCode="General&quot; mm&quot;">
                  <c:v>609.01376316531832</c:v>
                </c:pt>
                <c:pt idx="9" formatCode="General&quot; mm&quot;">
                  <c:v>654.01376316531832</c:v>
                </c:pt>
                <c:pt idx="10" formatCode="General&quot; mm&quot;">
                  <c:v>729.01376316531832</c:v>
                </c:pt>
                <c:pt idx="11" formatCode="General&quot; mm&quot;">
                  <c:v>729.01376316531832</c:v>
                </c:pt>
                <c:pt idx="12">
                  <c:v>700</c:v>
                </c:pt>
              </c:numCache>
            </c:numRef>
          </c:xVal>
          <c:yVal>
            <c:numRef>
              <c:f>'Kontur-Kontrolle'!$N$13:$Z$13</c:f>
              <c:numCache>
                <c:formatCode>General</c:formatCode>
                <c:ptCount val="13"/>
                <c:pt idx="2">
                  <c:v>-25</c:v>
                </c:pt>
                <c:pt idx="3">
                  <c:v>-700</c:v>
                </c:pt>
                <c:pt idx="4">
                  <c:v>-700</c:v>
                </c:pt>
                <c:pt idx="5">
                  <c:v>-25</c:v>
                </c:pt>
              </c:numCache>
            </c:numRef>
          </c:yVal>
          <c:smooth val="0"/>
          <c:extLst>
            <c:ext xmlns:c16="http://schemas.microsoft.com/office/drawing/2014/chart" uri="{C3380CC4-5D6E-409C-BE32-E72D297353CC}">
              <c16:uniqueId val="{00000005-5907-48D5-AFA0-6E754F95A794}"/>
            </c:ext>
          </c:extLst>
        </c:ser>
        <c:ser>
          <c:idx val="6"/>
          <c:order val="6"/>
          <c:tx>
            <c:strRef>
              <c:f>'Kontur-Kontrolle'!$M$14</c:f>
              <c:strCache>
                <c:ptCount val="1"/>
                <c:pt idx="0">
                  <c:v>Höhenleitwerk</c:v>
                </c:pt>
              </c:strCache>
            </c:strRef>
          </c:tx>
          <c:spPr>
            <a:ln w="19050" cap="rnd">
              <a:solidFill>
                <a:schemeClr val="accent1">
                  <a:lumMod val="60000"/>
                </a:schemeClr>
              </a:solidFill>
              <a:round/>
            </a:ln>
            <a:effectLst/>
          </c:spPr>
          <c:marker>
            <c:symbol val="none"/>
          </c:marker>
          <c:xVal>
            <c:numRef>
              <c:f>'Kontur-Kontrolle'!$N$7:$Z$7</c:f>
              <c:numCache>
                <c:formatCode>General</c:formatCode>
                <c:ptCount val="13"/>
                <c:pt idx="0">
                  <c:v>0</c:v>
                </c:pt>
                <c:pt idx="1">
                  <c:v>0</c:v>
                </c:pt>
                <c:pt idx="2">
                  <c:v>190</c:v>
                </c:pt>
                <c:pt idx="3" formatCode="General&quot; mm&quot;">
                  <c:v>205</c:v>
                </c:pt>
                <c:pt idx="4" formatCode="General&quot; mm&quot;">
                  <c:v>335</c:v>
                </c:pt>
                <c:pt idx="5" formatCode="General&quot; mm&quot;">
                  <c:v>350</c:v>
                </c:pt>
                <c:pt idx="6" formatCode="General&quot; mm&quot;">
                  <c:v>350</c:v>
                </c:pt>
                <c:pt idx="7" formatCode="General&quot; mm&quot;">
                  <c:v>609.01376316531832</c:v>
                </c:pt>
                <c:pt idx="8" formatCode="General&quot; mm&quot;">
                  <c:v>609.01376316531832</c:v>
                </c:pt>
                <c:pt idx="9" formatCode="General&quot; mm&quot;">
                  <c:v>654.01376316531832</c:v>
                </c:pt>
                <c:pt idx="10" formatCode="General&quot; mm&quot;">
                  <c:v>729.01376316531832</c:v>
                </c:pt>
                <c:pt idx="11" formatCode="General&quot; mm&quot;">
                  <c:v>729.01376316531832</c:v>
                </c:pt>
                <c:pt idx="12">
                  <c:v>700</c:v>
                </c:pt>
              </c:numCache>
            </c:numRef>
          </c:xVal>
          <c:yVal>
            <c:numRef>
              <c:f>'Kontur-Kontrolle'!$N$14:$Z$14</c:f>
              <c:numCache>
                <c:formatCode>General</c:formatCode>
                <c:ptCount val="13"/>
                <c:pt idx="8">
                  <c:v>10</c:v>
                </c:pt>
                <c:pt idx="9">
                  <c:v>175</c:v>
                </c:pt>
                <c:pt idx="10">
                  <c:v>175</c:v>
                </c:pt>
                <c:pt idx="11">
                  <c:v>0</c:v>
                </c:pt>
              </c:numCache>
            </c:numRef>
          </c:yVal>
          <c:smooth val="0"/>
          <c:extLst>
            <c:ext xmlns:c16="http://schemas.microsoft.com/office/drawing/2014/chart" uri="{C3380CC4-5D6E-409C-BE32-E72D297353CC}">
              <c16:uniqueId val="{00000006-5907-48D5-AFA0-6E754F95A794}"/>
            </c:ext>
          </c:extLst>
        </c:ser>
        <c:ser>
          <c:idx val="7"/>
          <c:order val="7"/>
          <c:tx>
            <c:strRef>
              <c:f>'Kontur-Kontrolle'!$M$15</c:f>
              <c:strCache>
                <c:ptCount val="1"/>
                <c:pt idx="0">
                  <c:v>Höhenleitwerk gesp.</c:v>
                </c:pt>
              </c:strCache>
            </c:strRef>
          </c:tx>
          <c:spPr>
            <a:ln w="19050" cap="rnd">
              <a:solidFill>
                <a:schemeClr val="accent2">
                  <a:lumMod val="60000"/>
                </a:schemeClr>
              </a:solidFill>
              <a:round/>
            </a:ln>
            <a:effectLst/>
          </c:spPr>
          <c:marker>
            <c:symbol val="none"/>
          </c:marker>
          <c:xVal>
            <c:numRef>
              <c:f>'Kontur-Kontrolle'!$N$7:$Z$7</c:f>
              <c:numCache>
                <c:formatCode>General</c:formatCode>
                <c:ptCount val="13"/>
                <c:pt idx="0">
                  <c:v>0</c:v>
                </c:pt>
                <c:pt idx="1">
                  <c:v>0</c:v>
                </c:pt>
                <c:pt idx="2">
                  <c:v>190</c:v>
                </c:pt>
                <c:pt idx="3" formatCode="General&quot; mm&quot;">
                  <c:v>205</c:v>
                </c:pt>
                <c:pt idx="4" formatCode="General&quot; mm&quot;">
                  <c:v>335</c:v>
                </c:pt>
                <c:pt idx="5" formatCode="General&quot; mm&quot;">
                  <c:v>350</c:v>
                </c:pt>
                <c:pt idx="6" formatCode="General&quot; mm&quot;">
                  <c:v>350</c:v>
                </c:pt>
                <c:pt idx="7" formatCode="General&quot; mm&quot;">
                  <c:v>609.01376316531832</c:v>
                </c:pt>
                <c:pt idx="8" formatCode="General&quot; mm&quot;">
                  <c:v>609.01376316531832</c:v>
                </c:pt>
                <c:pt idx="9" formatCode="General&quot; mm&quot;">
                  <c:v>654.01376316531832</c:v>
                </c:pt>
                <c:pt idx="10" formatCode="General&quot; mm&quot;">
                  <c:v>729.01376316531832</c:v>
                </c:pt>
                <c:pt idx="11" formatCode="General&quot; mm&quot;">
                  <c:v>729.01376316531832</c:v>
                </c:pt>
                <c:pt idx="12">
                  <c:v>700</c:v>
                </c:pt>
              </c:numCache>
            </c:numRef>
          </c:xVal>
          <c:yVal>
            <c:numRef>
              <c:f>'Kontur-Kontrolle'!$N$15:$Z$15</c:f>
              <c:numCache>
                <c:formatCode>General</c:formatCode>
                <c:ptCount val="13"/>
                <c:pt idx="8">
                  <c:v>-10</c:v>
                </c:pt>
                <c:pt idx="9">
                  <c:v>-175</c:v>
                </c:pt>
                <c:pt idx="10">
                  <c:v>-175</c:v>
                </c:pt>
                <c:pt idx="11">
                  <c:v>0</c:v>
                </c:pt>
              </c:numCache>
            </c:numRef>
          </c:yVal>
          <c:smooth val="0"/>
          <c:extLst>
            <c:ext xmlns:c16="http://schemas.microsoft.com/office/drawing/2014/chart" uri="{C3380CC4-5D6E-409C-BE32-E72D297353CC}">
              <c16:uniqueId val="{00000007-5907-48D5-AFA0-6E754F95A794}"/>
            </c:ext>
          </c:extLst>
        </c:ser>
        <c:dLbls>
          <c:showLegendKey val="0"/>
          <c:showVal val="0"/>
          <c:showCatName val="0"/>
          <c:showSerName val="0"/>
          <c:showPercent val="0"/>
          <c:showBubbleSize val="0"/>
        </c:dLbls>
        <c:axId val="643858552"/>
        <c:axId val="643851992"/>
      </c:scatterChart>
      <c:valAx>
        <c:axId val="6438585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43851992"/>
        <c:crosses val="autoZero"/>
        <c:crossBetween val="midCat"/>
        <c:majorUnit val="200"/>
      </c:valAx>
      <c:valAx>
        <c:axId val="643851992"/>
        <c:scaling>
          <c:orientation val="minMax"/>
        </c:scaling>
        <c:delete val="0"/>
        <c:axPos val="l"/>
        <c:majorGridlines>
          <c:spPr>
            <a:ln w="9525" cap="flat" cmpd="sng" algn="ctr">
              <a:solidFill>
                <a:schemeClr val="tx1">
                  <a:lumMod val="15000"/>
                  <a:lumOff val="85000"/>
                </a:schemeClr>
              </a:solidFill>
              <a:round/>
            </a:ln>
            <a:effectLst/>
          </c:spPr>
        </c:majorGridlines>
        <c:numFmt formatCode="General&quot; mm&quot;"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43858552"/>
        <c:crosses val="autoZero"/>
        <c:crossBetween val="midCat"/>
        <c:majorUnit val="2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'Kontur-Kontrolle'!$M$20</c:f>
          <c:strCache>
            <c:ptCount val="1"/>
            <c:pt idx="0">
              <c:v>Dimensionskontrolle Seitenansicht</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scatterChart>
        <c:scatterStyle val="lineMarker"/>
        <c:varyColors val="0"/>
        <c:ser>
          <c:idx val="0"/>
          <c:order val="0"/>
          <c:tx>
            <c:strRef>
              <c:f>'Kontur-Kontrolle'!$M$23</c:f>
              <c:strCache>
                <c:ptCount val="1"/>
                <c:pt idx="0">
                  <c:v>Limiten</c:v>
                </c:pt>
              </c:strCache>
            </c:strRef>
          </c:tx>
          <c:spPr>
            <a:ln w="19050" cap="rnd">
              <a:solidFill>
                <a:schemeClr val="accent1"/>
              </a:solidFill>
              <a:round/>
            </a:ln>
            <a:effectLst/>
          </c:spPr>
          <c:marker>
            <c:symbol val="none"/>
          </c:marker>
          <c:xVal>
            <c:numRef>
              <c:f>'Kontur-Kontrolle'!$N$22:$AA$22</c:f>
              <c:numCache>
                <c:formatCode>General</c:formatCode>
                <c:ptCount val="14"/>
                <c:pt idx="0">
                  <c:v>0</c:v>
                </c:pt>
                <c:pt idx="1">
                  <c:v>0</c:v>
                </c:pt>
                <c:pt idx="2">
                  <c:v>190</c:v>
                </c:pt>
                <c:pt idx="3" formatCode="General&quot; mm&quot;">
                  <c:v>205</c:v>
                </c:pt>
                <c:pt idx="4" formatCode="General&quot; mm&quot;">
                  <c:v>335</c:v>
                </c:pt>
                <c:pt idx="5" formatCode="General&quot; mm&quot;">
                  <c:v>350</c:v>
                </c:pt>
                <c:pt idx="6" formatCode="General&quot; mm&quot;">
                  <c:v>565.3445879883725</c:v>
                </c:pt>
                <c:pt idx="7" formatCode="General&quot; mm&quot;">
                  <c:v>712.34709649865169</c:v>
                </c:pt>
                <c:pt idx="8" formatCode="General&quot; mm&quot;">
                  <c:v>729.01376316531832</c:v>
                </c:pt>
                <c:pt idx="9" formatCode="General&quot; mm&quot;">
                  <c:v>729.01376316531832</c:v>
                </c:pt>
                <c:pt idx="10" formatCode="General&quot; mm&quot;">
                  <c:v>729.01376316531832</c:v>
                </c:pt>
                <c:pt idx="11" formatCode="General&quot; mm&quot;">
                  <c:v>762.34709649865169</c:v>
                </c:pt>
                <c:pt idx="12" formatCode="General&quot; mm&quot;">
                  <c:v>762.34709649865169</c:v>
                </c:pt>
                <c:pt idx="13" formatCode="General&quot; mm&quot;">
                  <c:v>700</c:v>
                </c:pt>
              </c:numCache>
            </c:numRef>
          </c:xVal>
          <c:yVal>
            <c:numRef>
              <c:f>'Kontur-Kontrolle'!$N$23:$AA$23</c:f>
              <c:numCache>
                <c:formatCode>General</c:formatCode>
                <c:ptCount val="14"/>
                <c:pt idx="0" formatCode="General&quot; mm&quot;">
                  <c:v>700</c:v>
                </c:pt>
              </c:numCache>
            </c:numRef>
          </c:yVal>
          <c:smooth val="0"/>
          <c:extLst>
            <c:ext xmlns:c16="http://schemas.microsoft.com/office/drawing/2014/chart" uri="{C3380CC4-5D6E-409C-BE32-E72D297353CC}">
              <c16:uniqueId val="{00000000-3D36-42B0-AAB9-F5B6CADFDA2B}"/>
            </c:ext>
          </c:extLst>
        </c:ser>
        <c:ser>
          <c:idx val="2"/>
          <c:order val="2"/>
          <c:tx>
            <c:strRef>
              <c:f>'Kontur-Kontrolle'!$M$25</c:f>
              <c:strCache>
                <c:ptCount val="1"/>
                <c:pt idx="0">
                  <c:v>Rumpf oben</c:v>
                </c:pt>
              </c:strCache>
            </c:strRef>
          </c:tx>
          <c:spPr>
            <a:ln w="19050" cap="rnd">
              <a:solidFill>
                <a:schemeClr val="accent3"/>
              </a:solidFill>
              <a:round/>
            </a:ln>
            <a:effectLst/>
          </c:spPr>
          <c:marker>
            <c:symbol val="none"/>
          </c:marker>
          <c:xVal>
            <c:numRef>
              <c:f>'Kontur-Kontrolle'!$N$22:$AA$22</c:f>
              <c:numCache>
                <c:formatCode>General</c:formatCode>
                <c:ptCount val="14"/>
                <c:pt idx="0">
                  <c:v>0</c:v>
                </c:pt>
                <c:pt idx="1">
                  <c:v>0</c:v>
                </c:pt>
                <c:pt idx="2">
                  <c:v>190</c:v>
                </c:pt>
                <c:pt idx="3" formatCode="General&quot; mm&quot;">
                  <c:v>205</c:v>
                </c:pt>
                <c:pt idx="4" formatCode="General&quot; mm&quot;">
                  <c:v>335</c:v>
                </c:pt>
                <c:pt idx="5" formatCode="General&quot; mm&quot;">
                  <c:v>350</c:v>
                </c:pt>
                <c:pt idx="6" formatCode="General&quot; mm&quot;">
                  <c:v>565.3445879883725</c:v>
                </c:pt>
                <c:pt idx="7" formatCode="General&quot; mm&quot;">
                  <c:v>712.34709649865169</c:v>
                </c:pt>
                <c:pt idx="8" formatCode="General&quot; mm&quot;">
                  <c:v>729.01376316531832</c:v>
                </c:pt>
                <c:pt idx="9" formatCode="General&quot; mm&quot;">
                  <c:v>729.01376316531832</c:v>
                </c:pt>
                <c:pt idx="10" formatCode="General&quot; mm&quot;">
                  <c:v>729.01376316531832</c:v>
                </c:pt>
                <c:pt idx="11" formatCode="General&quot; mm&quot;">
                  <c:v>762.34709649865169</c:v>
                </c:pt>
                <c:pt idx="12" formatCode="General&quot; mm&quot;">
                  <c:v>762.34709649865169</c:v>
                </c:pt>
                <c:pt idx="13" formatCode="General&quot; mm&quot;">
                  <c:v>700</c:v>
                </c:pt>
              </c:numCache>
            </c:numRef>
          </c:xVal>
          <c:yVal>
            <c:numRef>
              <c:f>'Kontur-Kontrolle'!$N$25:$AA$25</c:f>
              <c:numCache>
                <c:formatCode>General" mm"</c:formatCode>
                <c:ptCount val="14"/>
                <c:pt idx="1">
                  <c:v>47.5</c:v>
                </c:pt>
                <c:pt idx="2">
                  <c:v>55</c:v>
                </c:pt>
                <c:pt idx="3">
                  <c:v>55</c:v>
                </c:pt>
                <c:pt idx="4">
                  <c:v>55</c:v>
                </c:pt>
                <c:pt idx="5">
                  <c:v>55</c:v>
                </c:pt>
                <c:pt idx="6">
                  <c:v>55</c:v>
                </c:pt>
                <c:pt idx="7">
                  <c:v>55</c:v>
                </c:pt>
                <c:pt idx="8">
                  <c:v>55</c:v>
                </c:pt>
                <c:pt idx="9">
                  <c:v>55</c:v>
                </c:pt>
                <c:pt idx="10">
                  <c:v>55</c:v>
                </c:pt>
              </c:numCache>
            </c:numRef>
          </c:yVal>
          <c:smooth val="0"/>
          <c:extLst>
            <c:ext xmlns:c16="http://schemas.microsoft.com/office/drawing/2014/chart" uri="{C3380CC4-5D6E-409C-BE32-E72D297353CC}">
              <c16:uniqueId val="{00000002-3D36-42B0-AAB9-F5B6CADFDA2B}"/>
            </c:ext>
          </c:extLst>
        </c:ser>
        <c:ser>
          <c:idx val="3"/>
          <c:order val="3"/>
          <c:tx>
            <c:strRef>
              <c:f>'Kontur-Kontrolle'!$M$26</c:f>
              <c:strCache>
                <c:ptCount val="1"/>
                <c:pt idx="0">
                  <c:v>Seitenleitwerk</c:v>
                </c:pt>
              </c:strCache>
            </c:strRef>
          </c:tx>
          <c:spPr>
            <a:ln w="19050" cap="rnd">
              <a:solidFill>
                <a:schemeClr val="accent4"/>
              </a:solidFill>
              <a:round/>
            </a:ln>
            <a:effectLst/>
          </c:spPr>
          <c:marker>
            <c:symbol val="none"/>
          </c:marker>
          <c:xVal>
            <c:numRef>
              <c:f>'Kontur-Kontrolle'!$N$22:$AA$22</c:f>
              <c:numCache>
                <c:formatCode>General</c:formatCode>
                <c:ptCount val="14"/>
                <c:pt idx="0">
                  <c:v>0</c:v>
                </c:pt>
                <c:pt idx="1">
                  <c:v>0</c:v>
                </c:pt>
                <c:pt idx="2">
                  <c:v>190</c:v>
                </c:pt>
                <c:pt idx="3" formatCode="General&quot; mm&quot;">
                  <c:v>205</c:v>
                </c:pt>
                <c:pt idx="4" formatCode="General&quot; mm&quot;">
                  <c:v>335</c:v>
                </c:pt>
                <c:pt idx="5" formatCode="General&quot; mm&quot;">
                  <c:v>350</c:v>
                </c:pt>
                <c:pt idx="6" formatCode="General&quot; mm&quot;">
                  <c:v>565.3445879883725</c:v>
                </c:pt>
                <c:pt idx="7" formatCode="General&quot; mm&quot;">
                  <c:v>712.34709649865169</c:v>
                </c:pt>
                <c:pt idx="8" formatCode="General&quot; mm&quot;">
                  <c:v>729.01376316531832</c:v>
                </c:pt>
                <c:pt idx="9" formatCode="General&quot; mm&quot;">
                  <c:v>729.01376316531832</c:v>
                </c:pt>
                <c:pt idx="10" formatCode="General&quot; mm&quot;">
                  <c:v>729.01376316531832</c:v>
                </c:pt>
                <c:pt idx="11" formatCode="General&quot; mm&quot;">
                  <c:v>762.34709649865169</c:v>
                </c:pt>
                <c:pt idx="12" formatCode="General&quot; mm&quot;">
                  <c:v>762.34709649865169</c:v>
                </c:pt>
                <c:pt idx="13" formatCode="General&quot; mm&quot;">
                  <c:v>700</c:v>
                </c:pt>
              </c:numCache>
            </c:numRef>
          </c:xVal>
          <c:yVal>
            <c:numRef>
              <c:f>'Kontur-Kontrolle'!$N$26:$AA$26</c:f>
              <c:numCache>
                <c:formatCode>General</c:formatCode>
                <c:ptCount val="14"/>
                <c:pt idx="6" formatCode="General&quot; mm&quot;">
                  <c:v>35</c:v>
                </c:pt>
                <c:pt idx="7" formatCode="General&quot; mm&quot;">
                  <c:v>175</c:v>
                </c:pt>
                <c:pt idx="8" formatCode="General&quot; mm&quot;">
                  <c:v>175</c:v>
                </c:pt>
                <c:pt idx="9" formatCode="General&quot; mm&quot;">
                  <c:v>175</c:v>
                </c:pt>
                <c:pt idx="10" formatCode="General&quot; mm&quot;">
                  <c:v>175</c:v>
                </c:pt>
                <c:pt idx="11" formatCode="General&quot; mm&quot;">
                  <c:v>175</c:v>
                </c:pt>
                <c:pt idx="12" formatCode="General&quot; mm&quot;">
                  <c:v>35</c:v>
                </c:pt>
              </c:numCache>
            </c:numRef>
          </c:yVal>
          <c:smooth val="0"/>
          <c:extLst>
            <c:ext xmlns:c16="http://schemas.microsoft.com/office/drawing/2014/chart" uri="{C3380CC4-5D6E-409C-BE32-E72D297353CC}">
              <c16:uniqueId val="{00000003-3D36-42B0-AAB9-F5B6CADFDA2B}"/>
            </c:ext>
          </c:extLst>
        </c:ser>
        <c:ser>
          <c:idx val="4"/>
          <c:order val="4"/>
          <c:tx>
            <c:strRef>
              <c:f>'Kontur-Kontrolle'!$M$27</c:f>
              <c:strCache>
                <c:ptCount val="1"/>
                <c:pt idx="0">
                  <c:v>Flügel</c:v>
                </c:pt>
              </c:strCache>
            </c:strRef>
          </c:tx>
          <c:spPr>
            <a:ln w="19050" cap="rnd">
              <a:solidFill>
                <a:schemeClr val="accent5"/>
              </a:solidFill>
              <a:round/>
            </a:ln>
            <a:effectLst/>
          </c:spPr>
          <c:marker>
            <c:symbol val="none"/>
          </c:marker>
          <c:xVal>
            <c:numRef>
              <c:f>'Kontur-Kontrolle'!$N$22:$AA$22</c:f>
              <c:numCache>
                <c:formatCode>General</c:formatCode>
                <c:ptCount val="14"/>
                <c:pt idx="0">
                  <c:v>0</c:v>
                </c:pt>
                <c:pt idx="1">
                  <c:v>0</c:v>
                </c:pt>
                <c:pt idx="2">
                  <c:v>190</c:v>
                </c:pt>
                <c:pt idx="3" formatCode="General&quot; mm&quot;">
                  <c:v>205</c:v>
                </c:pt>
                <c:pt idx="4" formatCode="General&quot; mm&quot;">
                  <c:v>335</c:v>
                </c:pt>
                <c:pt idx="5" formatCode="General&quot; mm&quot;">
                  <c:v>350</c:v>
                </c:pt>
                <c:pt idx="6" formatCode="General&quot; mm&quot;">
                  <c:v>565.3445879883725</c:v>
                </c:pt>
                <c:pt idx="7" formatCode="General&quot; mm&quot;">
                  <c:v>712.34709649865169</c:v>
                </c:pt>
                <c:pt idx="8" formatCode="General&quot; mm&quot;">
                  <c:v>729.01376316531832</c:v>
                </c:pt>
                <c:pt idx="9" formatCode="General&quot; mm&quot;">
                  <c:v>729.01376316531832</c:v>
                </c:pt>
                <c:pt idx="10" formatCode="General&quot; mm&quot;">
                  <c:v>729.01376316531832</c:v>
                </c:pt>
                <c:pt idx="11" formatCode="General&quot; mm&quot;">
                  <c:v>762.34709649865169</c:v>
                </c:pt>
                <c:pt idx="12" formatCode="General&quot; mm&quot;">
                  <c:v>762.34709649865169</c:v>
                </c:pt>
                <c:pt idx="13" formatCode="General&quot; mm&quot;">
                  <c:v>700</c:v>
                </c:pt>
              </c:numCache>
            </c:numRef>
          </c:xVal>
          <c:yVal>
            <c:numRef>
              <c:f>'Kontur-Kontrolle'!$N$27:$AA$27</c:f>
              <c:numCache>
                <c:formatCode>General</c:formatCode>
                <c:ptCount val="14"/>
                <c:pt idx="2" formatCode="General&quot; mm&quot;">
                  <c:v>55</c:v>
                </c:pt>
                <c:pt idx="3" formatCode="General&quot; mm&quot;">
                  <c:v>128.57296468597355</c:v>
                </c:pt>
                <c:pt idx="4" formatCode="General&quot; mm&quot;">
                  <c:v>128.57296468597355</c:v>
                </c:pt>
                <c:pt idx="5" formatCode="General&quot; mm&quot;">
                  <c:v>55</c:v>
                </c:pt>
              </c:numCache>
            </c:numRef>
          </c:yVal>
          <c:smooth val="0"/>
          <c:extLst>
            <c:ext xmlns:c16="http://schemas.microsoft.com/office/drawing/2014/chart" uri="{C3380CC4-5D6E-409C-BE32-E72D297353CC}">
              <c16:uniqueId val="{00000004-3D36-42B0-AAB9-F5B6CADFDA2B}"/>
            </c:ext>
          </c:extLst>
        </c:ser>
        <c:dLbls>
          <c:showLegendKey val="0"/>
          <c:showVal val="0"/>
          <c:showCatName val="0"/>
          <c:showSerName val="0"/>
          <c:showPercent val="0"/>
          <c:showBubbleSize val="0"/>
        </c:dLbls>
        <c:axId val="582257944"/>
        <c:axId val="582255648"/>
      </c:scatterChart>
      <c:scatterChart>
        <c:scatterStyle val="smoothMarker"/>
        <c:varyColors val="0"/>
        <c:ser>
          <c:idx val="1"/>
          <c:order val="1"/>
          <c:tx>
            <c:strRef>
              <c:f>'Kontur-Kontrolle'!$M$24</c:f>
              <c:strCache>
                <c:ptCount val="1"/>
                <c:pt idx="0">
                  <c:v>Rumpf unten</c:v>
                </c:pt>
              </c:strCache>
            </c:strRef>
          </c:tx>
          <c:spPr>
            <a:ln w="19050" cap="rnd">
              <a:solidFill>
                <a:schemeClr val="accent2"/>
              </a:solidFill>
              <a:round/>
            </a:ln>
            <a:effectLst/>
          </c:spPr>
          <c:marker>
            <c:symbol val="none"/>
          </c:marker>
          <c:xVal>
            <c:numRef>
              <c:f>'Kontur-Kontrolle'!$N$22:$AA$22</c:f>
              <c:numCache>
                <c:formatCode>General</c:formatCode>
                <c:ptCount val="14"/>
                <c:pt idx="0">
                  <c:v>0</c:v>
                </c:pt>
                <c:pt idx="1">
                  <c:v>0</c:v>
                </c:pt>
                <c:pt idx="2">
                  <c:v>190</c:v>
                </c:pt>
                <c:pt idx="3" formatCode="General&quot; mm&quot;">
                  <c:v>205</c:v>
                </c:pt>
                <c:pt idx="4" formatCode="General&quot; mm&quot;">
                  <c:v>335</c:v>
                </c:pt>
                <c:pt idx="5" formatCode="General&quot; mm&quot;">
                  <c:v>350</c:v>
                </c:pt>
                <c:pt idx="6" formatCode="General&quot; mm&quot;">
                  <c:v>565.3445879883725</c:v>
                </c:pt>
                <c:pt idx="7" formatCode="General&quot; mm&quot;">
                  <c:v>712.34709649865169</c:v>
                </c:pt>
                <c:pt idx="8" formatCode="General&quot; mm&quot;">
                  <c:v>729.01376316531832</c:v>
                </c:pt>
                <c:pt idx="9" formatCode="General&quot; mm&quot;">
                  <c:v>729.01376316531832</c:v>
                </c:pt>
                <c:pt idx="10" formatCode="General&quot; mm&quot;">
                  <c:v>729.01376316531832</c:v>
                </c:pt>
                <c:pt idx="11" formatCode="General&quot; mm&quot;">
                  <c:v>762.34709649865169</c:v>
                </c:pt>
                <c:pt idx="12" formatCode="General&quot; mm&quot;">
                  <c:v>762.34709649865169</c:v>
                </c:pt>
                <c:pt idx="13" formatCode="General&quot; mm&quot;">
                  <c:v>700</c:v>
                </c:pt>
              </c:numCache>
            </c:numRef>
          </c:xVal>
          <c:yVal>
            <c:numRef>
              <c:f>'Kontur-Kontrolle'!$N$24:$AA$24</c:f>
              <c:numCache>
                <c:formatCode>General" mm"</c:formatCode>
                <c:ptCount val="14"/>
                <c:pt idx="1">
                  <c:v>7.5</c:v>
                </c:pt>
                <c:pt idx="2">
                  <c:v>0</c:v>
                </c:pt>
                <c:pt idx="3">
                  <c:v>0</c:v>
                </c:pt>
                <c:pt idx="4" formatCode="General">
                  <c:v>0</c:v>
                </c:pt>
                <c:pt idx="5" formatCode="General">
                  <c:v>0</c:v>
                </c:pt>
                <c:pt idx="6">
                  <c:v>20.461367935034286</c:v>
                </c:pt>
                <c:pt idx="7">
                  <c:v>33.519510261146436</c:v>
                </c:pt>
                <c:pt idx="8">
                  <c:v>35</c:v>
                </c:pt>
                <c:pt idx="9">
                  <c:v>35</c:v>
                </c:pt>
                <c:pt idx="10">
                  <c:v>55</c:v>
                </c:pt>
              </c:numCache>
            </c:numRef>
          </c:yVal>
          <c:smooth val="1"/>
          <c:extLst>
            <c:ext xmlns:c16="http://schemas.microsoft.com/office/drawing/2014/chart" uri="{C3380CC4-5D6E-409C-BE32-E72D297353CC}">
              <c16:uniqueId val="{00000001-3D36-42B0-AAB9-F5B6CADFDA2B}"/>
            </c:ext>
          </c:extLst>
        </c:ser>
        <c:dLbls>
          <c:showLegendKey val="0"/>
          <c:showVal val="0"/>
          <c:showCatName val="0"/>
          <c:showSerName val="0"/>
          <c:showPercent val="0"/>
          <c:showBubbleSize val="0"/>
        </c:dLbls>
        <c:axId val="582257944"/>
        <c:axId val="582255648"/>
      </c:scatterChart>
      <c:valAx>
        <c:axId val="5822579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82255648"/>
        <c:crosses val="autoZero"/>
        <c:crossBetween val="midCat"/>
        <c:majorUnit val="200"/>
      </c:valAx>
      <c:valAx>
        <c:axId val="582255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quot; mm&quot;"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82257944"/>
        <c:crosses val="autoZero"/>
        <c:crossBetween val="midCat"/>
        <c:majorUnit val="2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388939</xdr:colOff>
      <xdr:row>11</xdr:row>
      <xdr:rowOff>24780</xdr:rowOff>
    </xdr:from>
    <xdr:to>
      <xdr:col>9</xdr:col>
      <xdr:colOff>16224</xdr:colOff>
      <xdr:row>36</xdr:row>
      <xdr:rowOff>150812</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6000752" y="2294905"/>
          <a:ext cx="3286472" cy="4991720"/>
        </a:xfrm>
        <a:prstGeom prst="rect">
          <a:avLst/>
        </a:prstGeom>
      </xdr:spPr>
    </xdr:pic>
    <xdr:clientData/>
  </xdr:twoCellAnchor>
  <xdr:twoCellAnchor editAs="oneCell">
    <xdr:from>
      <xdr:col>6</xdr:col>
      <xdr:colOff>480759</xdr:colOff>
      <xdr:row>121</xdr:row>
      <xdr:rowOff>22413</xdr:rowOff>
    </xdr:from>
    <xdr:to>
      <xdr:col>9</xdr:col>
      <xdr:colOff>415296</xdr:colOff>
      <xdr:row>144</xdr:row>
      <xdr:rowOff>95250</xdr:rowOff>
    </xdr:to>
    <xdr:pic>
      <xdr:nvPicPr>
        <xdr:cNvPr id="8" name="Grafik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6854572" y="23342788"/>
          <a:ext cx="2831724" cy="4454337"/>
        </a:xfrm>
        <a:prstGeom prst="rect">
          <a:avLst/>
        </a:prstGeom>
      </xdr:spPr>
    </xdr:pic>
    <xdr:clientData/>
  </xdr:twoCellAnchor>
  <xdr:twoCellAnchor editAs="oneCell">
    <xdr:from>
      <xdr:col>0</xdr:col>
      <xdr:colOff>300081</xdr:colOff>
      <xdr:row>31</xdr:row>
      <xdr:rowOff>91700</xdr:rowOff>
    </xdr:from>
    <xdr:to>
      <xdr:col>3</xdr:col>
      <xdr:colOff>238125</xdr:colOff>
      <xdr:row>36</xdr:row>
      <xdr:rowOff>129273</xdr:rowOff>
    </xdr:to>
    <xdr:pic>
      <xdr:nvPicPr>
        <xdr:cNvPr id="11" name="Grafik 10">
          <a:extLst>
            <a:ext uri="{FF2B5EF4-FFF2-40B4-BE49-F238E27FC236}">
              <a16:creationId xmlns:a16="http://schemas.microsoft.com/office/drawing/2014/main" id="{00000000-0008-0000-0000-00000B000000}"/>
            </a:ext>
          </a:extLst>
        </xdr:cNvPr>
        <xdr:cNvPicPr>
          <a:picLocks noChangeAspect="1"/>
        </xdr:cNvPicPr>
      </xdr:nvPicPr>
      <xdr:blipFill rotWithShape="1">
        <a:blip xmlns:r="http://schemas.openxmlformats.org/officeDocument/2006/relationships" r:embed="rId2"/>
        <a:srcRect l="38876"/>
        <a:stretch/>
      </xdr:blipFill>
      <xdr:spPr>
        <a:xfrm>
          <a:off x="300081" y="6275013"/>
          <a:ext cx="4184607" cy="990073"/>
        </a:xfrm>
        <a:prstGeom prst="rect">
          <a:avLst/>
        </a:prstGeom>
      </xdr:spPr>
    </xdr:pic>
    <xdr:clientData/>
  </xdr:twoCellAnchor>
  <xdr:twoCellAnchor editAs="oneCell">
    <xdr:from>
      <xdr:col>0</xdr:col>
      <xdr:colOff>828482</xdr:colOff>
      <xdr:row>25</xdr:row>
      <xdr:rowOff>87313</xdr:rowOff>
    </xdr:from>
    <xdr:to>
      <xdr:col>2</xdr:col>
      <xdr:colOff>611187</xdr:colOff>
      <xdr:row>31</xdr:row>
      <xdr:rowOff>122036</xdr:rowOff>
    </xdr:to>
    <xdr:pic>
      <xdr:nvPicPr>
        <xdr:cNvPr id="7" name="Grafik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2"/>
        <a:srcRect r="62360"/>
        <a:stretch/>
      </xdr:blipFill>
      <xdr:spPr>
        <a:xfrm>
          <a:off x="828482" y="5127626"/>
          <a:ext cx="3068830" cy="1177723"/>
        </a:xfrm>
        <a:prstGeom prst="rect">
          <a:avLst/>
        </a:prstGeom>
      </xdr:spPr>
    </xdr:pic>
    <xdr:clientData/>
  </xdr:twoCellAnchor>
  <xdr:twoCellAnchor>
    <xdr:from>
      <xdr:col>4</xdr:col>
      <xdr:colOff>86092</xdr:colOff>
      <xdr:row>40</xdr:row>
      <xdr:rowOff>4886</xdr:rowOff>
    </xdr:from>
    <xdr:to>
      <xdr:col>9</xdr:col>
      <xdr:colOff>730251</xdr:colOff>
      <xdr:row>49</xdr:row>
      <xdr:rowOff>39687</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4983530" y="7767761"/>
          <a:ext cx="5017721" cy="19636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900"/>
            <a:t>Wie anhand der Faustformel</a:t>
          </a:r>
          <a:r>
            <a:rPr lang="de-CH" sz="900" baseline="0"/>
            <a:t> links </a:t>
          </a:r>
          <a:r>
            <a:rPr lang="de-CH" sz="900"/>
            <a:t>unschwer zu erkenne ist ergibt sich eine grosse Spanne von Resultaten.</a:t>
          </a:r>
          <a:r>
            <a:rPr lang="de-CH" sz="900" baseline="0"/>
            <a:t> </a:t>
          </a:r>
        </a:p>
        <a:p>
          <a:r>
            <a:rPr lang="de-CH" sz="900" baseline="0"/>
            <a:t>Die "Faustformel stammt noch aus der Zeit der A2-Freiflugsegler aus den 1960er Jahren. Damals waren lange "Rumpfhecks" durchaus normal. </a:t>
          </a:r>
        </a:p>
        <a:p>
          <a:r>
            <a:rPr lang="de-CH" sz="900" baseline="0"/>
            <a:t>Im Verlaufe der Zeit, haben sich aber die Modellproportionen immer weiter verschoben, zu kürzeren Leitwerkshebelarmen; wobei nicht zuletzt das aktive steuern mit modernen Systemen (RC), eine deutliche Veränderung der Auslegungsparameter einleitete.</a:t>
          </a:r>
        </a:p>
        <a:p>
          <a:endParaRPr lang="de-CH" sz="900" baseline="0"/>
        </a:p>
        <a:p>
          <a:r>
            <a:rPr lang="de-CH" sz="900" baseline="0"/>
            <a:t>&gt;&gt; Die Werte nach der "Faustformel" sind eher relevant für Freiflugmodelle, oder solche bei denen eine grosse Eigenstabilität explizit erwünscht ist (Anfängermodelle zum Beispiel)...</a:t>
          </a:r>
        </a:p>
        <a:p>
          <a:br>
            <a:rPr lang="de-CH" sz="900"/>
          </a:br>
          <a:r>
            <a:rPr lang="de-CH" sz="900" b="1"/>
            <a:t>&gt;&gt; Der gerechnete Wert entspricht eher der Auslegung modernerer</a:t>
          </a:r>
          <a:r>
            <a:rPr lang="de-CH" sz="900" b="1" baseline="0"/>
            <a:t> RC-Segler. Mit diesem Wert wird im folgenden auch weiter gerechnet!</a:t>
          </a:r>
        </a:p>
      </xdr:txBody>
    </xdr:sp>
    <xdr:clientData/>
  </xdr:twoCellAnchor>
  <xdr:twoCellAnchor>
    <xdr:from>
      <xdr:col>6</xdr:col>
      <xdr:colOff>522365</xdr:colOff>
      <xdr:row>62</xdr:row>
      <xdr:rowOff>37065</xdr:rowOff>
    </xdr:from>
    <xdr:to>
      <xdr:col>9</xdr:col>
      <xdr:colOff>742174</xdr:colOff>
      <xdr:row>70</xdr:row>
      <xdr:rowOff>89647</xdr:rowOff>
    </xdr:to>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6904115" y="11775227"/>
          <a:ext cx="3116530" cy="15765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900" b="1"/>
            <a:t>Anleitung für das Ermitteln des Berichtigungsfaktor Höhenleitwerk:</a:t>
          </a:r>
        </a:p>
        <a:p>
          <a:r>
            <a:rPr lang="de-CH" sz="900"/>
            <a:t>Zuerst wird die geplante Streckung für das Höhenleitwerk eingetragen (HL-Spannweite / mittlere HL-Breite). Die Flügelstreckung  wird ermittelt aus den zu Beginn eingegebenen Flügelbreiten.</a:t>
          </a:r>
        </a:p>
        <a:p>
          <a:r>
            <a:rPr lang="de-CH" sz="900"/>
            <a:t>Der Berichtigungsfaktor </a:t>
          </a:r>
          <a:r>
            <a:rPr lang="de-CH" sz="900" b="1"/>
            <a:t>HL</a:t>
          </a:r>
          <a:r>
            <a:rPr lang="de-CH" sz="900"/>
            <a:t> wird nun aus der Grafik links herausgelesen und dann im Feld "Berichtigungsfaktor HL gewählt" von Hand eingetragen. Mit dem jetzt erscheinenden Punkt, kann der exakte Wert "einjustiert werden".</a:t>
          </a:r>
        </a:p>
      </xdr:txBody>
    </xdr:sp>
    <xdr:clientData/>
  </xdr:twoCellAnchor>
  <xdr:oneCellAnchor>
    <xdr:from>
      <xdr:col>3</xdr:col>
      <xdr:colOff>556413</xdr:colOff>
      <xdr:row>112</xdr:row>
      <xdr:rowOff>6485</xdr:rowOff>
    </xdr:from>
    <xdr:ext cx="3051881" cy="1211711"/>
    <xdr:pic>
      <xdr:nvPicPr>
        <xdr:cNvPr id="19" name="Grafik 18">
          <a:extLst>
            <a:ext uri="{FF2B5EF4-FFF2-40B4-BE49-F238E27FC236}">
              <a16:creationId xmlns:a16="http://schemas.microsoft.com/office/drawing/2014/main" id="{BCCAC764-4AA1-457F-B073-327D37AC78FF}"/>
            </a:ext>
          </a:extLst>
        </xdr:cNvPr>
        <xdr:cNvPicPr>
          <a:picLocks noChangeAspect="1"/>
        </xdr:cNvPicPr>
      </xdr:nvPicPr>
      <xdr:blipFill rotWithShape="1">
        <a:blip xmlns:r="http://schemas.openxmlformats.org/officeDocument/2006/relationships" r:embed="rId2"/>
        <a:srcRect r="63608"/>
        <a:stretch/>
      </xdr:blipFill>
      <xdr:spPr>
        <a:xfrm>
          <a:off x="4680178" y="20451617"/>
          <a:ext cx="3051881" cy="1211711"/>
        </a:xfrm>
        <a:prstGeom prst="rect">
          <a:avLst/>
        </a:prstGeom>
      </xdr:spPr>
    </xdr:pic>
    <xdr:clientData/>
  </xdr:oneCellAnchor>
  <xdr:twoCellAnchor editAs="oneCell">
    <xdr:from>
      <xdr:col>6</xdr:col>
      <xdr:colOff>463805</xdr:colOff>
      <xdr:row>75</xdr:row>
      <xdr:rowOff>33387</xdr:rowOff>
    </xdr:from>
    <xdr:to>
      <xdr:col>9</xdr:col>
      <xdr:colOff>670771</xdr:colOff>
      <xdr:row>78</xdr:row>
      <xdr:rowOff>195247</xdr:rowOff>
    </xdr:to>
    <xdr:pic>
      <xdr:nvPicPr>
        <xdr:cNvPr id="20" name="Grafik 19">
          <a:extLst>
            <a:ext uri="{FF2B5EF4-FFF2-40B4-BE49-F238E27FC236}">
              <a16:creationId xmlns:a16="http://schemas.microsoft.com/office/drawing/2014/main" id="{A36D2DDC-50D3-4CBD-909E-47D5891FFD6F}"/>
            </a:ext>
          </a:extLst>
        </xdr:cNvPr>
        <xdr:cNvPicPr>
          <a:picLocks noChangeAspect="1"/>
        </xdr:cNvPicPr>
      </xdr:nvPicPr>
      <xdr:blipFill rotWithShape="1">
        <a:blip xmlns:r="http://schemas.openxmlformats.org/officeDocument/2006/relationships" r:embed="rId2"/>
        <a:srcRect l="38876"/>
        <a:stretch/>
      </xdr:blipFill>
      <xdr:spPr>
        <a:xfrm rot="334496">
          <a:off x="6837618" y="14987637"/>
          <a:ext cx="3104153" cy="733360"/>
        </a:xfrm>
        <a:prstGeom prst="rect">
          <a:avLst/>
        </a:prstGeom>
      </xdr:spPr>
    </xdr:pic>
    <xdr:clientData/>
  </xdr:twoCellAnchor>
  <xdr:twoCellAnchor>
    <xdr:from>
      <xdr:col>0</xdr:col>
      <xdr:colOff>15875</xdr:colOff>
      <xdr:row>1</xdr:row>
      <xdr:rowOff>23812</xdr:rowOff>
    </xdr:from>
    <xdr:to>
      <xdr:col>9</xdr:col>
      <xdr:colOff>142875</xdr:colOff>
      <xdr:row>11</xdr:row>
      <xdr:rowOff>23812</xdr:rowOff>
    </xdr:to>
    <xdr:sp macro="" textlink="">
      <xdr:nvSpPr>
        <xdr:cNvPr id="21" name="Textfeld 20">
          <a:extLst>
            <a:ext uri="{FF2B5EF4-FFF2-40B4-BE49-F238E27FC236}">
              <a16:creationId xmlns:a16="http://schemas.microsoft.com/office/drawing/2014/main" id="{CA8BD8B1-9BD2-419A-9E49-CE2B7762786A}"/>
            </a:ext>
          </a:extLst>
        </xdr:cNvPr>
        <xdr:cNvSpPr txBox="1"/>
      </xdr:nvSpPr>
      <xdr:spPr>
        <a:xfrm>
          <a:off x="15875" y="293687"/>
          <a:ext cx="9398000" cy="2000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50"/>
            <a:t>Diese Berechnungstabelle</a:t>
          </a:r>
          <a:r>
            <a:rPr lang="de-CH" sz="1050" baseline="0"/>
            <a:t> soll bei der Auslegung von Flugmodellen unterstützten. Als untere Grenze können dabei Modelle von 1.2 - 1.4 Meter Spannweite angesetzt werden. Die Werte gelten nur für Rechteck-, oder Einfach-Trapez-Tragflächen. Bei einfach Trapezflächen wird davon ausgegangen, dass das äussere Profil so platziert ist, dass Nasen- und Endleiste "schräg" verlaufen. Eine Pfeilung des Flügels nach vorne oder hinten, wird nicht unterstützt.</a:t>
          </a:r>
        </a:p>
        <a:p>
          <a:r>
            <a:rPr lang="de-CH" sz="1050" baseline="0"/>
            <a:t>Grundsätzlich ist es so, dass die Ergebnisse nur  Dimensionierungsbereiche aufzeigen, innerhalb derer man ein fliegbare Modell erhalten sollte. Erfahrung und das Abgleichen mit ähnlichen Modellen, ist in jedem Fall hilfreich, bei der finalen Festlegung der Modelldimensionen...</a:t>
          </a:r>
        </a:p>
        <a:p>
          <a:endParaRPr lang="de-CH" sz="1050" baseline="0"/>
        </a:p>
        <a:p>
          <a:r>
            <a:rPr lang="de-CH" sz="1050" baseline="0"/>
            <a:t>Dieses Arbeitsblatt muss Schritt für Schritt, von oben nach unten, durchgearbeitet werden. Die Resultate werden auf der letzten Seite in diesem Register nochmals zusammen gefasst angezeigt. In einem weiteren Register können die Proportionen angenähert, graphisch kontrolliert werden. Werden Werte verändert ist ein nochmaliges kontrollieren von Beginn an empfehlenswert. </a:t>
          </a:r>
        </a:p>
        <a:p>
          <a:r>
            <a:rPr lang="de-CH" sz="1050" baseline="0"/>
            <a:t>Hinweis: Unstimmigkeiten werden natürlich nach Möglichkeit behoben. Hinweise auf solche werden gerne entgegen genommen (Kontakt via Webseite).</a:t>
          </a:r>
        </a:p>
        <a:p>
          <a:r>
            <a:rPr lang="de-CH" sz="1050" baseline="0"/>
            <a:t>Als Beispiel sind die Daten von meinem kleinen Segler Swift S140 eingetragen (</a:t>
          </a:r>
          <a:r>
            <a:rPr lang="de-CH" sz="1050">
              <a:hlinkClick xmlns:r="http://schemas.openxmlformats.org/officeDocument/2006/relationships" r:id=""/>
            </a:rPr>
            <a:t>RC Modellflug, Swift S140, ein kleiner Elektrosegler zum Nachbauen (ch-forrer.ch)</a:t>
          </a:r>
          <a:r>
            <a:rPr lang="de-CH" sz="1050"/>
            <a:t>)</a:t>
          </a:r>
        </a:p>
      </xdr:txBody>
    </xdr:sp>
    <xdr:clientData/>
  </xdr:twoCellAnchor>
  <xdr:oneCellAnchor>
    <xdr:from>
      <xdr:col>3</xdr:col>
      <xdr:colOff>162485</xdr:colOff>
      <xdr:row>146</xdr:row>
      <xdr:rowOff>134471</xdr:rowOff>
    </xdr:from>
    <xdr:ext cx="3051881" cy="1211711"/>
    <xdr:pic>
      <xdr:nvPicPr>
        <xdr:cNvPr id="22" name="Grafik 21">
          <a:extLst>
            <a:ext uri="{FF2B5EF4-FFF2-40B4-BE49-F238E27FC236}">
              <a16:creationId xmlns:a16="http://schemas.microsoft.com/office/drawing/2014/main" id="{CDE47AFD-39C0-4163-92A9-6942367CB5F4}"/>
            </a:ext>
          </a:extLst>
        </xdr:cNvPr>
        <xdr:cNvPicPr>
          <a:picLocks noChangeAspect="1"/>
        </xdr:cNvPicPr>
      </xdr:nvPicPr>
      <xdr:blipFill rotWithShape="1">
        <a:blip xmlns:r="http://schemas.openxmlformats.org/officeDocument/2006/relationships" r:embed="rId2"/>
        <a:srcRect r="63608"/>
        <a:stretch/>
      </xdr:blipFill>
      <xdr:spPr>
        <a:xfrm>
          <a:off x="4286250" y="26591559"/>
          <a:ext cx="3051881" cy="1211711"/>
        </a:xfrm>
        <a:prstGeom prst="rect">
          <a:avLst/>
        </a:prstGeom>
      </xdr:spPr>
    </xdr:pic>
    <xdr:clientData/>
  </xdr:oneCellAnchor>
  <xdr:twoCellAnchor editAs="oneCell">
    <xdr:from>
      <xdr:col>3</xdr:col>
      <xdr:colOff>115899</xdr:colOff>
      <xdr:row>129</xdr:row>
      <xdr:rowOff>127793</xdr:rowOff>
    </xdr:from>
    <xdr:to>
      <xdr:col>7</xdr:col>
      <xdr:colOff>145513</xdr:colOff>
      <xdr:row>133</xdr:row>
      <xdr:rowOff>86377</xdr:rowOff>
    </xdr:to>
    <xdr:pic>
      <xdr:nvPicPr>
        <xdr:cNvPr id="23" name="Grafik 22">
          <a:extLst>
            <a:ext uri="{FF2B5EF4-FFF2-40B4-BE49-F238E27FC236}">
              <a16:creationId xmlns:a16="http://schemas.microsoft.com/office/drawing/2014/main" id="{0EA08EBF-ABDA-4EB6-B010-3189A60CAC58}"/>
            </a:ext>
          </a:extLst>
        </xdr:cNvPr>
        <xdr:cNvPicPr>
          <a:picLocks noChangeAspect="1"/>
        </xdr:cNvPicPr>
      </xdr:nvPicPr>
      <xdr:blipFill rotWithShape="1">
        <a:blip xmlns:r="http://schemas.openxmlformats.org/officeDocument/2006/relationships" r:embed="rId2"/>
        <a:srcRect l="38876"/>
        <a:stretch/>
      </xdr:blipFill>
      <xdr:spPr>
        <a:xfrm rot="334496">
          <a:off x="4235462" y="24249856"/>
          <a:ext cx="3045864" cy="720584"/>
        </a:xfrm>
        <a:prstGeom prst="rect">
          <a:avLst/>
        </a:prstGeom>
      </xdr:spPr>
    </xdr:pic>
    <xdr:clientData/>
  </xdr:twoCellAnchor>
  <xdr:twoCellAnchor>
    <xdr:from>
      <xdr:col>0</xdr:col>
      <xdr:colOff>39687</xdr:colOff>
      <xdr:row>51</xdr:row>
      <xdr:rowOff>53180</xdr:rowOff>
    </xdr:from>
    <xdr:to>
      <xdr:col>6</xdr:col>
      <xdr:colOff>531812</xdr:colOff>
      <xdr:row>73</xdr:row>
      <xdr:rowOff>55563</xdr:rowOff>
    </xdr:to>
    <xdr:graphicFrame macro="">
      <xdr:nvGraphicFramePr>
        <xdr:cNvPr id="24" name="Diagramm 23">
          <a:extLst>
            <a:ext uri="{FF2B5EF4-FFF2-40B4-BE49-F238E27FC236}">
              <a16:creationId xmlns:a16="http://schemas.microsoft.com/office/drawing/2014/main" id="{355E2FD1-E042-4FE7-91E7-386041636CF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119061</xdr:colOff>
      <xdr:row>86</xdr:row>
      <xdr:rowOff>7938</xdr:rowOff>
    </xdr:from>
    <xdr:to>
      <xdr:col>9</xdr:col>
      <xdr:colOff>738187</xdr:colOff>
      <xdr:row>93</xdr:row>
      <xdr:rowOff>142875</xdr:rowOff>
    </xdr:to>
    <xdr:sp macro="" textlink="">
      <xdr:nvSpPr>
        <xdr:cNvPr id="9" name="Textfeld 8">
          <a:extLst>
            <a:ext uri="{FF2B5EF4-FFF2-40B4-BE49-F238E27FC236}">
              <a16:creationId xmlns:a16="http://schemas.microsoft.com/office/drawing/2014/main" id="{3A2B8F6B-261B-4306-B19A-3575638305B2}"/>
            </a:ext>
          </a:extLst>
        </xdr:cNvPr>
        <xdr:cNvSpPr txBox="1"/>
      </xdr:nvSpPr>
      <xdr:spPr>
        <a:xfrm>
          <a:off x="8016874" y="16168688"/>
          <a:ext cx="1992313" cy="14208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Die Höhenruder-Spannweite </a:t>
          </a:r>
          <a:r>
            <a:rPr lang="de-CH" sz="1100" b="1"/>
            <a:t>HW</a:t>
          </a:r>
          <a:r>
            <a:rPr lang="de-CH" sz="1100"/>
            <a:t> und die mittlere Breite </a:t>
          </a:r>
          <a:r>
            <a:rPr lang="de-CH" sz="1100" b="1"/>
            <a:t>Hbi </a:t>
          </a:r>
          <a:r>
            <a:rPr lang="de-CH" sz="1100"/>
            <a:t>werden  von Hand</a:t>
          </a:r>
          <a:r>
            <a:rPr lang="de-CH" sz="1100" baseline="0"/>
            <a:t> eingetragen. Idealerweise ergibt das die gleiche Höhenleitwerks-Streckung die oben schon mal gewählt, und von Hand eingetragen wurde.</a:t>
          </a:r>
          <a:endParaRPr lang="de-CH" sz="1100"/>
        </a:p>
      </xdr:txBody>
    </xdr:sp>
    <xdr:clientData/>
  </xdr:twoCellAnchor>
  <xdr:twoCellAnchor>
    <xdr:from>
      <xdr:col>8</xdr:col>
      <xdr:colOff>63500</xdr:colOff>
      <xdr:row>106</xdr:row>
      <xdr:rowOff>63501</xdr:rowOff>
    </xdr:from>
    <xdr:to>
      <xdr:col>9</xdr:col>
      <xdr:colOff>682625</xdr:colOff>
      <xdr:row>118</xdr:row>
      <xdr:rowOff>71439</xdr:rowOff>
    </xdr:to>
    <xdr:sp macro="" textlink="">
      <xdr:nvSpPr>
        <xdr:cNvPr id="26" name="Textfeld 25">
          <a:extLst>
            <a:ext uri="{FF2B5EF4-FFF2-40B4-BE49-F238E27FC236}">
              <a16:creationId xmlns:a16="http://schemas.microsoft.com/office/drawing/2014/main" id="{AB721F27-F334-493E-BC6A-055142C7FB58}"/>
            </a:ext>
          </a:extLst>
        </xdr:cNvPr>
        <xdr:cNvSpPr txBox="1"/>
      </xdr:nvSpPr>
      <xdr:spPr>
        <a:xfrm>
          <a:off x="7961313" y="20534314"/>
          <a:ext cx="1992312" cy="2325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Das Seitenleitwerk wird hier vereinfacht</a:t>
          </a:r>
          <a:r>
            <a:rPr lang="de-CH" sz="1100" baseline="0"/>
            <a:t> durch die Eingabe von Höhe und oberer Länge definiert. Für die effektive Konstruktion eines Modells ist die errechnete Fläche die wichtigste Grösse.</a:t>
          </a:r>
        </a:p>
        <a:p>
          <a:endParaRPr lang="de-CH" sz="1100" baseline="0"/>
        </a:p>
        <a:p>
          <a:r>
            <a:rPr lang="de-CH" sz="1100" baseline="0"/>
            <a:t>Hinweis: Es werden eher grosse Seitenleitwerksflächen errechnet...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35265</xdr:colOff>
      <xdr:row>2</xdr:row>
      <xdr:rowOff>249115</xdr:rowOff>
    </xdr:from>
    <xdr:to>
      <xdr:col>9</xdr:col>
      <xdr:colOff>410309</xdr:colOff>
      <xdr:row>38</xdr:row>
      <xdr:rowOff>104405</xdr:rowOff>
    </xdr:to>
    <xdr:graphicFrame macro="">
      <xdr:nvGraphicFramePr>
        <xdr:cNvPr id="5" name="Diagramm 4">
          <a:extLst>
            <a:ext uri="{FF2B5EF4-FFF2-40B4-BE49-F238E27FC236}">
              <a16:creationId xmlns:a16="http://schemas.microsoft.com/office/drawing/2014/main" id="{47B239F0-1FF2-4D7A-BC58-C70D7665890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36635</xdr:colOff>
      <xdr:row>16</xdr:row>
      <xdr:rowOff>5865</xdr:rowOff>
    </xdr:from>
    <xdr:to>
      <xdr:col>2</xdr:col>
      <xdr:colOff>1003789</xdr:colOff>
      <xdr:row>38</xdr:row>
      <xdr:rowOff>43965</xdr:rowOff>
    </xdr:to>
    <xdr:graphicFrame macro="">
      <xdr:nvGraphicFramePr>
        <xdr:cNvPr id="6" name="Diagramm 5">
          <a:extLst>
            <a:ext uri="{FF2B5EF4-FFF2-40B4-BE49-F238E27FC236}">
              <a16:creationId xmlns:a16="http://schemas.microsoft.com/office/drawing/2014/main" id="{6C6967CE-6542-4FCF-A9BB-C9BD84CE21D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29307</xdr:colOff>
      <xdr:row>0</xdr:row>
      <xdr:rowOff>29306</xdr:rowOff>
    </xdr:from>
    <xdr:to>
      <xdr:col>9</xdr:col>
      <xdr:colOff>674077</xdr:colOff>
      <xdr:row>3</xdr:row>
      <xdr:rowOff>29308</xdr:rowOff>
    </xdr:to>
    <xdr:sp macro="" textlink="">
      <xdr:nvSpPr>
        <xdr:cNvPr id="7" name="Textfeld 6">
          <a:extLst>
            <a:ext uri="{FF2B5EF4-FFF2-40B4-BE49-F238E27FC236}">
              <a16:creationId xmlns:a16="http://schemas.microsoft.com/office/drawing/2014/main" id="{FFC05AB0-3BEA-4D84-B21B-03553E385D10}"/>
            </a:ext>
          </a:extLst>
        </xdr:cNvPr>
        <xdr:cNvSpPr txBox="1"/>
      </xdr:nvSpPr>
      <xdr:spPr>
        <a:xfrm>
          <a:off x="5011615" y="29306"/>
          <a:ext cx="4454770" cy="7473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a:t>Die Diagramme als ganzes müssen bei Bedarf so in</a:t>
          </a:r>
          <a:r>
            <a:rPr lang="de-CH" sz="1000" baseline="0"/>
            <a:t> der Höhe/Breite skalliert werden, dass die Rechtecke Quadratisch (!) dargestellt werden. Nur so stimmen die Proportionen im jeweiligen Diagramm in etwa. Die Abstände von Linie zu Linie sind auf "200" eingestellt.</a:t>
          </a:r>
          <a:endParaRPr lang="de-CH" sz="10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58"/>
  <sheetViews>
    <sheetView tabSelected="1" zoomScale="120" zoomScaleNormal="120" workbookViewId="0">
      <selection activeCell="C16" sqref="C16"/>
    </sheetView>
  </sheetViews>
  <sheetFormatPr baseColWidth="10" defaultRowHeight="15" x14ac:dyDescent="0.25"/>
  <cols>
    <col min="1" max="1" width="42.28515625" style="12" customWidth="1"/>
    <col min="2" max="2" width="7" style="15" customWidth="1"/>
    <col min="3" max="3" width="14.42578125" style="12" customWidth="1"/>
    <col min="4" max="4" width="11.7109375" style="12" customWidth="1"/>
    <col min="5" max="5" width="10.7109375" style="12" customWidth="1"/>
    <col min="6" max="8" width="11.42578125" style="12"/>
    <col min="9" max="9" width="20.5703125" style="12" customWidth="1"/>
    <col min="10" max="11" width="11.42578125" style="12"/>
    <col min="12" max="12" width="35.85546875" style="12" bestFit="1" customWidth="1"/>
    <col min="13" max="16384" width="11.42578125" style="12"/>
  </cols>
  <sheetData>
    <row r="1" spans="1:10" ht="21" x14ac:dyDescent="0.25">
      <c r="A1" s="11" t="s">
        <v>125</v>
      </c>
      <c r="B1" s="185" t="s">
        <v>144</v>
      </c>
      <c r="C1" s="185"/>
      <c r="D1" s="185"/>
      <c r="E1" s="185"/>
      <c r="G1" s="13"/>
      <c r="H1" s="13"/>
      <c r="I1" s="13"/>
      <c r="J1" s="14" t="s">
        <v>130</v>
      </c>
    </row>
    <row r="2" spans="1:10" x14ac:dyDescent="0.25">
      <c r="J2" s="16" t="s">
        <v>136</v>
      </c>
    </row>
    <row r="8" spans="1:10" ht="18.75" customHeight="1" x14ac:dyDescent="0.25"/>
    <row r="9" spans="1:10" ht="18.75" customHeight="1" x14ac:dyDescent="0.25"/>
    <row r="12" spans="1:10" x14ac:dyDescent="0.25">
      <c r="A12" s="17"/>
      <c r="B12" s="18" t="s">
        <v>21</v>
      </c>
      <c r="C12" s="19"/>
      <c r="D12" s="19"/>
    </row>
    <row r="13" spans="1:10" x14ac:dyDescent="0.25">
      <c r="A13" s="20"/>
      <c r="B13" s="21" t="s">
        <v>143</v>
      </c>
      <c r="C13" s="22"/>
      <c r="D13" s="22"/>
    </row>
    <row r="14" spans="1:10" ht="23.25" x14ac:dyDescent="0.25">
      <c r="A14" s="23" t="s">
        <v>20</v>
      </c>
    </row>
    <row r="16" spans="1:10" x14ac:dyDescent="0.25">
      <c r="A16" s="24" t="s">
        <v>0</v>
      </c>
      <c r="B16" s="25" t="s">
        <v>27</v>
      </c>
      <c r="C16" s="1">
        <v>1400</v>
      </c>
      <c r="D16" s="26">
        <f>C16/1000</f>
        <v>1.4</v>
      </c>
      <c r="E16" s="27">
        <f>D16*10</f>
        <v>14</v>
      </c>
    </row>
    <row r="17" spans="1:5" x14ac:dyDescent="0.25">
      <c r="A17" s="24" t="s">
        <v>101</v>
      </c>
      <c r="B17" s="25"/>
      <c r="C17" s="2">
        <v>190</v>
      </c>
      <c r="D17" s="26"/>
      <c r="E17" s="27"/>
    </row>
    <row r="18" spans="1:5" x14ac:dyDescent="0.25">
      <c r="A18" s="24" t="s">
        <v>1</v>
      </c>
      <c r="B18" s="25" t="s">
        <v>28</v>
      </c>
      <c r="C18" s="1">
        <v>160</v>
      </c>
      <c r="D18" s="26">
        <f t="shared" ref="D18:D19" si="0">C18/1000</f>
        <v>0.16</v>
      </c>
      <c r="E18" s="27">
        <f t="shared" ref="E18:E20" si="1">D18*10</f>
        <v>1.6</v>
      </c>
    </row>
    <row r="19" spans="1:5" x14ac:dyDescent="0.25">
      <c r="A19" s="24" t="s">
        <v>2</v>
      </c>
      <c r="B19" s="25" t="s">
        <v>29</v>
      </c>
      <c r="C19" s="1">
        <v>130</v>
      </c>
      <c r="D19" s="26">
        <f t="shared" si="0"/>
        <v>0.13</v>
      </c>
      <c r="E19" s="27">
        <f t="shared" si="1"/>
        <v>1.3</v>
      </c>
    </row>
    <row r="20" spans="1:5" x14ac:dyDescent="0.25">
      <c r="A20" s="24" t="s">
        <v>5</v>
      </c>
      <c r="B20" s="25" t="s">
        <v>30</v>
      </c>
      <c r="C20" s="28">
        <f>(C18+C19)/2</f>
        <v>145</v>
      </c>
      <c r="D20" s="26">
        <f>C20/1000</f>
        <v>0.14499999999999999</v>
      </c>
      <c r="E20" s="27">
        <f t="shared" si="1"/>
        <v>1.45</v>
      </c>
    </row>
    <row r="21" spans="1:5" x14ac:dyDescent="0.25">
      <c r="A21" s="24" t="s">
        <v>3</v>
      </c>
      <c r="B21" s="25" t="s">
        <v>31</v>
      </c>
      <c r="C21" s="29">
        <f>C16/C20</f>
        <v>9.6551724137931032</v>
      </c>
      <c r="D21" s="26"/>
      <c r="E21" s="24"/>
    </row>
    <row r="22" spans="1:5" x14ac:dyDescent="0.25">
      <c r="A22" s="24" t="s">
        <v>4</v>
      </c>
      <c r="B22" s="25" t="s">
        <v>32</v>
      </c>
      <c r="C22" s="30">
        <f>C16*C20</f>
        <v>203000</v>
      </c>
      <c r="D22" s="31">
        <f>D16*D20</f>
        <v>0.20299999999999999</v>
      </c>
      <c r="E22" s="32">
        <f>D22*100</f>
        <v>20.299999999999997</v>
      </c>
    </row>
    <row r="23" spans="1:5" x14ac:dyDescent="0.25">
      <c r="C23" s="33"/>
      <c r="D23" s="34"/>
      <c r="E23" s="35"/>
    </row>
    <row r="24" spans="1:5" x14ac:dyDescent="0.25">
      <c r="A24" s="24" t="s">
        <v>22</v>
      </c>
      <c r="B24" s="25" t="s">
        <v>23</v>
      </c>
      <c r="C24" s="3">
        <v>700</v>
      </c>
      <c r="D24" s="34"/>
      <c r="E24" s="35"/>
    </row>
    <row r="25" spans="1:5" x14ac:dyDescent="0.25">
      <c r="A25" s="24" t="s">
        <v>24</v>
      </c>
      <c r="B25" s="25" t="s">
        <v>33</v>
      </c>
      <c r="C25" s="36">
        <f>C24/E22</f>
        <v>34.482758620689658</v>
      </c>
      <c r="D25" s="34"/>
    </row>
    <row r="40" spans="1:4" ht="23.25" x14ac:dyDescent="0.25">
      <c r="A40" s="23" t="s">
        <v>65</v>
      </c>
      <c r="B40" s="37"/>
    </row>
    <row r="41" spans="1:4" ht="18.75" x14ac:dyDescent="0.25">
      <c r="A41" s="38" t="s">
        <v>63</v>
      </c>
      <c r="B41" s="37"/>
    </row>
    <row r="42" spans="1:4" ht="30" x14ac:dyDescent="0.25">
      <c r="A42" s="39" t="s">
        <v>129</v>
      </c>
      <c r="B42" s="37"/>
      <c r="C42" s="40" t="s">
        <v>34</v>
      </c>
    </row>
    <row r="43" spans="1:4" ht="15.75" x14ac:dyDescent="0.25">
      <c r="A43" s="41" t="s">
        <v>64</v>
      </c>
      <c r="B43" s="42">
        <v>4</v>
      </c>
      <c r="C43" s="43">
        <f>B43*C$20</f>
        <v>580</v>
      </c>
    </row>
    <row r="44" spans="1:4" ht="15.75" x14ac:dyDescent="0.25">
      <c r="A44" s="41" t="s">
        <v>64</v>
      </c>
      <c r="B44" s="42">
        <v>5</v>
      </c>
      <c r="C44" s="43">
        <f t="shared" ref="C44:C45" si="2">B44*C$20</f>
        <v>725</v>
      </c>
    </row>
    <row r="45" spans="1:4" ht="15.75" x14ac:dyDescent="0.25">
      <c r="A45" s="41" t="s">
        <v>64</v>
      </c>
      <c r="B45" s="42">
        <v>6</v>
      </c>
      <c r="C45" s="43">
        <f t="shared" si="2"/>
        <v>870</v>
      </c>
    </row>
    <row r="46" spans="1:4" ht="18.75" x14ac:dyDescent="0.25">
      <c r="B46" s="37"/>
    </row>
    <row r="47" spans="1:4" x14ac:dyDescent="0.25">
      <c r="A47" s="38" t="s">
        <v>7</v>
      </c>
    </row>
    <row r="48" spans="1:4" ht="15.75" x14ac:dyDescent="0.25">
      <c r="A48" s="44" t="s">
        <v>13</v>
      </c>
      <c r="B48" s="45" t="s">
        <v>34</v>
      </c>
      <c r="C48" s="43">
        <f>D48*1000</f>
        <v>407.34709649865158</v>
      </c>
      <c r="D48" s="46">
        <f>((0.0476*(D16-1.8))+0.7)*(C21^(1/8))*SQRT(D22)</f>
        <v>0.40734709649865158</v>
      </c>
    </row>
    <row r="49" spans="1:17" ht="6.75" customHeight="1" x14ac:dyDescent="0.25">
      <c r="A49" s="47"/>
      <c r="B49" s="48"/>
      <c r="C49" s="49"/>
      <c r="D49" s="50"/>
    </row>
    <row r="50" spans="1:17" ht="23.25" x14ac:dyDescent="0.25">
      <c r="A50" s="23" t="s">
        <v>36</v>
      </c>
      <c r="B50" s="51"/>
    </row>
    <row r="51" spans="1:17" ht="12" customHeight="1" x14ac:dyDescent="0.25">
      <c r="A51" s="38" t="s">
        <v>25</v>
      </c>
    </row>
    <row r="52" spans="1:17" x14ac:dyDescent="0.25">
      <c r="A52" s="38"/>
      <c r="H52" s="52" t="s">
        <v>72</v>
      </c>
      <c r="L52" s="53" t="s">
        <v>139</v>
      </c>
    </row>
    <row r="53" spans="1:17" ht="15.75" x14ac:dyDescent="0.25">
      <c r="A53" s="38"/>
      <c r="L53" s="54" t="s">
        <v>67</v>
      </c>
    </row>
    <row r="54" spans="1:17" x14ac:dyDescent="0.25">
      <c r="A54" s="38"/>
      <c r="H54" s="12" t="s">
        <v>73</v>
      </c>
    </row>
    <row r="55" spans="1:17" x14ac:dyDescent="0.25">
      <c r="A55" s="38"/>
      <c r="H55" s="12" t="s">
        <v>74</v>
      </c>
      <c r="L55" s="55" t="s">
        <v>68</v>
      </c>
      <c r="M55" s="56" t="s">
        <v>69</v>
      </c>
      <c r="N55" s="57"/>
      <c r="O55" s="57"/>
      <c r="P55" s="57"/>
      <c r="Q55" s="58"/>
    </row>
    <row r="56" spans="1:17" x14ac:dyDescent="0.25">
      <c r="A56" s="38"/>
      <c r="L56" s="59"/>
      <c r="M56" s="60">
        <v>5</v>
      </c>
      <c r="N56" s="60">
        <v>10</v>
      </c>
      <c r="O56" s="60">
        <v>15</v>
      </c>
      <c r="P56" s="60">
        <v>20</v>
      </c>
      <c r="Q56" s="60">
        <v>25</v>
      </c>
    </row>
    <row r="57" spans="1:17" x14ac:dyDescent="0.25">
      <c r="A57" s="38"/>
      <c r="H57" s="56" t="s">
        <v>70</v>
      </c>
      <c r="I57" s="57"/>
      <c r="J57" s="4">
        <v>3.6</v>
      </c>
      <c r="L57" s="61">
        <v>8</v>
      </c>
      <c r="M57" s="25">
        <v>0.55600000000000005</v>
      </c>
      <c r="N57" s="25">
        <v>0.58799999999999997</v>
      </c>
      <c r="O57" s="25">
        <v>0.6</v>
      </c>
      <c r="P57" s="25">
        <v>0.60050000000000003</v>
      </c>
      <c r="Q57" s="25">
        <v>0.60099999999999998</v>
      </c>
    </row>
    <row r="58" spans="1:17" x14ac:dyDescent="0.25">
      <c r="A58" s="38"/>
      <c r="L58" s="61">
        <v>7.5</v>
      </c>
      <c r="M58" s="25">
        <v>0.54800000000000004</v>
      </c>
      <c r="N58" s="25">
        <v>0.57799999999999996</v>
      </c>
      <c r="O58" s="25">
        <v>0.58799999999999997</v>
      </c>
      <c r="P58" s="25">
        <v>0.58899999999999997</v>
      </c>
      <c r="Q58" s="25">
        <v>0.59</v>
      </c>
    </row>
    <row r="59" spans="1:17" x14ac:dyDescent="0.25">
      <c r="A59" s="38"/>
      <c r="H59" s="62" t="s">
        <v>69</v>
      </c>
      <c r="I59" s="63"/>
      <c r="J59" s="64">
        <f>C21</f>
        <v>9.6551724137931032</v>
      </c>
      <c r="L59" s="61">
        <v>7</v>
      </c>
      <c r="M59" s="25">
        <v>0.54</v>
      </c>
      <c r="N59" s="25">
        <v>0.56799999999999995</v>
      </c>
      <c r="O59" s="25">
        <v>0.57499999999999996</v>
      </c>
      <c r="P59" s="25">
        <v>0.57599999999999996</v>
      </c>
      <c r="Q59" s="25">
        <v>0.57599999999999996</v>
      </c>
    </row>
    <row r="60" spans="1:17" x14ac:dyDescent="0.25">
      <c r="A60" s="38"/>
      <c r="L60" s="61">
        <v>6.5</v>
      </c>
      <c r="M60" s="25">
        <v>0.52500000000000002</v>
      </c>
      <c r="N60" s="25">
        <v>0.55400000000000005</v>
      </c>
      <c r="O60" s="25">
        <v>0.56399999999999995</v>
      </c>
      <c r="P60" s="25">
        <v>0.56499999999999995</v>
      </c>
      <c r="Q60" s="25">
        <v>0.56499999999999995</v>
      </c>
    </row>
    <row r="61" spans="1:17" x14ac:dyDescent="0.25">
      <c r="A61" s="38"/>
      <c r="H61" s="65" t="s">
        <v>71</v>
      </c>
      <c r="I61" s="66"/>
      <c r="J61" s="5">
        <v>0.43</v>
      </c>
      <c r="L61" s="61">
        <v>6</v>
      </c>
      <c r="M61" s="25">
        <v>0.51</v>
      </c>
      <c r="N61" s="25">
        <v>0.54</v>
      </c>
      <c r="O61" s="25">
        <v>0.54900000000000004</v>
      </c>
      <c r="P61" s="25">
        <v>0.55000000000000004</v>
      </c>
      <c r="Q61" s="25">
        <v>0.55000000000000004</v>
      </c>
    </row>
    <row r="62" spans="1:17" x14ac:dyDescent="0.25">
      <c r="A62" s="38"/>
      <c r="L62" s="61">
        <v>5.5</v>
      </c>
      <c r="M62" s="25">
        <v>0.496</v>
      </c>
      <c r="N62" s="25">
        <v>0.52200000000000002</v>
      </c>
      <c r="O62" s="25">
        <v>0.53200000000000003</v>
      </c>
      <c r="P62" s="25">
        <v>0.53300000000000003</v>
      </c>
      <c r="Q62" s="25">
        <v>0.53300000000000003</v>
      </c>
    </row>
    <row r="63" spans="1:17" x14ac:dyDescent="0.25">
      <c r="A63" s="38"/>
      <c r="L63" s="61">
        <v>5</v>
      </c>
      <c r="M63" s="25">
        <v>0.47799999999999998</v>
      </c>
      <c r="N63" s="25">
        <v>0.50600000000000001</v>
      </c>
      <c r="O63" s="25">
        <v>0.51400000000000001</v>
      </c>
      <c r="P63" s="25">
        <v>0.51549999999999996</v>
      </c>
      <c r="Q63" s="25">
        <v>0.51600000000000001</v>
      </c>
    </row>
    <row r="64" spans="1:17" x14ac:dyDescent="0.25">
      <c r="A64" s="38"/>
      <c r="L64" s="61">
        <v>4.5</v>
      </c>
      <c r="M64" s="25">
        <v>0.46100000000000002</v>
      </c>
      <c r="N64" s="25">
        <v>0.48599999999999999</v>
      </c>
      <c r="O64" s="25">
        <v>0.49399999999999999</v>
      </c>
      <c r="P64" s="25">
        <v>0.495</v>
      </c>
      <c r="Q64" s="25">
        <v>0.496</v>
      </c>
    </row>
    <row r="65" spans="1:17" x14ac:dyDescent="0.25">
      <c r="A65" s="38"/>
      <c r="L65" s="61">
        <v>4</v>
      </c>
      <c r="M65" s="25">
        <v>0.43330000000000002</v>
      </c>
      <c r="N65" s="25">
        <v>0.46250000000000002</v>
      </c>
      <c r="O65" s="25">
        <v>0.47</v>
      </c>
      <c r="P65" s="25">
        <v>0.47</v>
      </c>
      <c r="Q65" s="25">
        <v>0.47</v>
      </c>
    </row>
    <row r="66" spans="1:17" x14ac:dyDescent="0.25">
      <c r="A66" s="38"/>
      <c r="L66" s="61">
        <v>3.5</v>
      </c>
      <c r="M66" s="25">
        <v>0.40250000000000002</v>
      </c>
      <c r="N66" s="25">
        <v>0.43375000000000002</v>
      </c>
      <c r="O66" s="25">
        <v>0.44500000000000001</v>
      </c>
      <c r="P66" s="25">
        <v>0.44500000000000001</v>
      </c>
      <c r="Q66" s="25">
        <v>0.44500000000000001</v>
      </c>
    </row>
    <row r="67" spans="1:17" x14ac:dyDescent="0.25">
      <c r="A67" s="38"/>
      <c r="J67" s="67"/>
      <c r="L67" s="61">
        <v>3</v>
      </c>
      <c r="M67" s="25">
        <v>0.37659999999999999</v>
      </c>
      <c r="N67" s="25">
        <v>0.39833000000000002</v>
      </c>
      <c r="O67" s="25">
        <v>0.40500000000000003</v>
      </c>
      <c r="P67" s="25">
        <v>0.40749999999999997</v>
      </c>
      <c r="Q67" s="25">
        <v>0.40749999999999997</v>
      </c>
    </row>
    <row r="68" spans="1:17" x14ac:dyDescent="0.25">
      <c r="A68" s="38"/>
    </row>
    <row r="69" spans="1:17" x14ac:dyDescent="0.25">
      <c r="A69" s="38"/>
    </row>
    <row r="70" spans="1:17" x14ac:dyDescent="0.25">
      <c r="A70" s="38"/>
    </row>
    <row r="71" spans="1:17" x14ac:dyDescent="0.25">
      <c r="A71" s="38"/>
    </row>
    <row r="72" spans="1:17" x14ac:dyDescent="0.25">
      <c r="A72" s="38"/>
    </row>
    <row r="73" spans="1:17" x14ac:dyDescent="0.25">
      <c r="A73" s="38"/>
    </row>
    <row r="74" spans="1:17" x14ac:dyDescent="0.25">
      <c r="A74" s="38"/>
    </row>
    <row r="75" spans="1:17" x14ac:dyDescent="0.25">
      <c r="A75" s="38"/>
    </row>
    <row r="76" spans="1:17" x14ac:dyDescent="0.25">
      <c r="A76" s="38"/>
    </row>
    <row r="77" spans="1:17" x14ac:dyDescent="0.25">
      <c r="A77" s="68" t="s">
        <v>131</v>
      </c>
      <c r="B77" s="25" t="s">
        <v>58</v>
      </c>
      <c r="C77" s="6">
        <v>3</v>
      </c>
    </row>
    <row r="78" spans="1:17" x14ac:dyDescent="0.25">
      <c r="A78" s="24" t="s">
        <v>59</v>
      </c>
      <c r="B78" s="25" t="s">
        <v>60</v>
      </c>
      <c r="C78" s="69">
        <f>(TAN(RADIANS(2*C77)))*(C16/2)</f>
        <v>73.572964685973531</v>
      </c>
      <c r="D78" s="70" t="s">
        <v>66</v>
      </c>
    </row>
    <row r="79" spans="1:17" ht="15.75" thickBot="1" x14ac:dyDescent="0.3">
      <c r="A79" s="38"/>
    </row>
    <row r="80" spans="1:17" x14ac:dyDescent="0.25">
      <c r="A80" s="68" t="s">
        <v>91</v>
      </c>
      <c r="B80" s="25"/>
      <c r="C80" s="71">
        <f>SQRT(((D18*D18)+(D19*D19))/2)*1000</f>
        <v>145.77379737113253</v>
      </c>
      <c r="E80" s="72" t="s">
        <v>79</v>
      </c>
      <c r="F80" s="73"/>
      <c r="G80" s="74" t="s">
        <v>81</v>
      </c>
      <c r="H80" s="75"/>
    </row>
    <row r="81" spans="1:8" x14ac:dyDescent="0.25">
      <c r="A81" s="38"/>
      <c r="E81" s="76" t="s">
        <v>80</v>
      </c>
      <c r="F81" s="77"/>
      <c r="H81" s="78"/>
    </row>
    <row r="82" spans="1:8" x14ac:dyDescent="0.25">
      <c r="A82" s="68" t="s">
        <v>75</v>
      </c>
      <c r="B82" s="79">
        <v>5</v>
      </c>
      <c r="C82" s="62" t="s">
        <v>140</v>
      </c>
      <c r="D82" s="63"/>
      <c r="E82" s="80">
        <f>(B82*C$80/100)+(0.25*C$80)</f>
        <v>43.732139211339756</v>
      </c>
      <c r="F82" s="81"/>
      <c r="G82" s="82">
        <f>((E82/100)-(0.25*(C$80/100)))*E$22/(C$48/100)/J$61</f>
        <v>0.84471932295516083</v>
      </c>
      <c r="H82" s="83">
        <f>G82*10000</f>
        <v>8447.193229551609</v>
      </c>
    </row>
    <row r="83" spans="1:8" x14ac:dyDescent="0.25">
      <c r="A83" s="84"/>
      <c r="B83" s="85">
        <v>15</v>
      </c>
      <c r="C83" s="62" t="s">
        <v>76</v>
      </c>
      <c r="D83" s="63"/>
      <c r="E83" s="80">
        <f t="shared" ref="E83:E85" si="3">(B83*C$80/100)+(0.25*C$80)</f>
        <v>58.309518948453018</v>
      </c>
      <c r="F83" s="81"/>
      <c r="G83" s="82">
        <f>((E83/100)-(0.25*(C$80/100)))*E$22/(C$48/100)/J$61</f>
        <v>2.5341579688654856</v>
      </c>
      <c r="H83" s="83">
        <f t="shared" ref="H83:H85" si="4">G83*10000</f>
        <v>25341.579688654856</v>
      </c>
    </row>
    <row r="84" spans="1:8" x14ac:dyDescent="0.25">
      <c r="A84" s="84"/>
      <c r="B84" s="85">
        <v>20</v>
      </c>
      <c r="C84" s="62" t="s">
        <v>86</v>
      </c>
      <c r="D84" s="63"/>
      <c r="E84" s="80">
        <f t="shared" si="3"/>
        <v>65.598208817009635</v>
      </c>
      <c r="F84" s="86"/>
      <c r="G84" s="82">
        <f>((E84/100)-(0.25*(C$80/100)))*E$22/(C$48/100)/J$61</f>
        <v>3.3788772918206469</v>
      </c>
      <c r="H84" s="83">
        <f t="shared" si="4"/>
        <v>33788.772918206472</v>
      </c>
    </row>
    <row r="85" spans="1:8" ht="15.75" thickBot="1" x14ac:dyDescent="0.3">
      <c r="A85" s="87" t="s">
        <v>78</v>
      </c>
      <c r="B85" s="79">
        <v>25</v>
      </c>
      <c r="C85" s="62" t="s">
        <v>77</v>
      </c>
      <c r="D85" s="63"/>
      <c r="E85" s="80">
        <f t="shared" si="3"/>
        <v>72.886898685566265</v>
      </c>
      <c r="F85" s="88"/>
      <c r="G85" s="89">
        <f>((E85/100)-(0.25*(C$80/100)))*E$22/(C$48/100)/J$61</f>
        <v>4.2235966147758086</v>
      </c>
      <c r="H85" s="83">
        <f t="shared" si="4"/>
        <v>42235.966147758088</v>
      </c>
    </row>
    <row r="87" spans="1:8" x14ac:dyDescent="0.25">
      <c r="A87" s="24" t="s">
        <v>82</v>
      </c>
      <c r="B87" s="90" t="s">
        <v>38</v>
      </c>
      <c r="C87" s="7">
        <v>350</v>
      </c>
    </row>
    <row r="88" spans="1:8" ht="15.75" thickBot="1" x14ac:dyDescent="0.3">
      <c r="A88" s="24" t="s">
        <v>84</v>
      </c>
      <c r="B88" s="90" t="s">
        <v>40</v>
      </c>
      <c r="C88" s="7">
        <v>120</v>
      </c>
      <c r="D88" s="15" t="s">
        <v>132</v>
      </c>
      <c r="G88" s="91" t="s">
        <v>133</v>
      </c>
      <c r="H88" s="92">
        <f>C87/C88</f>
        <v>2.9166666666666665</v>
      </c>
    </row>
    <row r="89" spans="1:8" x14ac:dyDescent="0.25">
      <c r="A89" s="93" t="s">
        <v>83</v>
      </c>
      <c r="B89" s="94" t="s">
        <v>41</v>
      </c>
      <c r="C89" s="95">
        <f>B82</f>
        <v>5</v>
      </c>
      <c r="D89" s="96">
        <f>(2*H82/C$87)-C$88</f>
        <v>-71.730324402562232</v>
      </c>
      <c r="E89" s="97"/>
      <c r="F89" s="98"/>
      <c r="G89" s="98"/>
      <c r="H89" s="99"/>
    </row>
    <row r="90" spans="1:8" x14ac:dyDescent="0.25">
      <c r="A90" s="100"/>
      <c r="B90" s="101"/>
      <c r="C90" s="79">
        <f>B83</f>
        <v>15</v>
      </c>
      <c r="D90" s="102">
        <f>(2*H83/C$87)-C$88</f>
        <v>24.80902679231346</v>
      </c>
      <c r="E90" s="100" t="s">
        <v>85</v>
      </c>
      <c r="H90" s="103"/>
    </row>
    <row r="91" spans="1:8" ht="9.75" customHeight="1" x14ac:dyDescent="0.25">
      <c r="A91" s="100"/>
      <c r="B91" s="101"/>
      <c r="C91" s="79">
        <f>B84</f>
        <v>20</v>
      </c>
      <c r="D91" s="102">
        <f>(2*H84/C$87)-C$88</f>
        <v>73.078702389751271</v>
      </c>
      <c r="E91" s="100"/>
      <c r="H91" s="103"/>
    </row>
    <row r="92" spans="1:8" ht="15.75" thickBot="1" x14ac:dyDescent="0.3">
      <c r="A92" s="104"/>
      <c r="B92" s="105"/>
      <c r="C92" s="79">
        <f t="shared" ref="C92" si="5">B85</f>
        <v>25</v>
      </c>
      <c r="D92" s="106">
        <f>(2*H85/C$87)-C$88</f>
        <v>121.34837798718908</v>
      </c>
      <c r="E92" s="104"/>
      <c r="F92" s="107"/>
      <c r="G92" s="107"/>
      <c r="H92" s="108"/>
    </row>
    <row r="94" spans="1:8" x14ac:dyDescent="0.25">
      <c r="A94" s="68" t="s">
        <v>87</v>
      </c>
      <c r="B94" s="90" t="s">
        <v>37</v>
      </c>
      <c r="C94" s="8">
        <v>3.37</v>
      </c>
      <c r="D94" s="12" t="s">
        <v>89</v>
      </c>
    </row>
    <row r="95" spans="1:8" x14ac:dyDescent="0.25">
      <c r="A95" s="53" t="s">
        <v>88</v>
      </c>
      <c r="B95" s="40" t="s">
        <v>41</v>
      </c>
      <c r="C95" s="9">
        <v>75</v>
      </c>
      <c r="D95" s="12" t="s">
        <v>134</v>
      </c>
    </row>
    <row r="96" spans="1:8" x14ac:dyDescent="0.25">
      <c r="D96" s="12" t="s">
        <v>141</v>
      </c>
    </row>
    <row r="98" spans="1:10" x14ac:dyDescent="0.25">
      <c r="A98" s="109"/>
      <c r="B98" s="110"/>
      <c r="C98" s="98"/>
      <c r="D98" s="98"/>
      <c r="E98" s="98"/>
      <c r="F98" s="98"/>
      <c r="G98" s="98"/>
      <c r="H98" s="98"/>
      <c r="I98" s="98"/>
      <c r="J98" s="98"/>
    </row>
    <row r="99" spans="1:10" x14ac:dyDescent="0.25">
      <c r="A99" s="12" t="s">
        <v>137</v>
      </c>
    </row>
    <row r="100" spans="1:10" x14ac:dyDescent="0.25">
      <c r="A100" s="12" t="s">
        <v>135</v>
      </c>
    </row>
    <row r="102" spans="1:10" x14ac:dyDescent="0.25">
      <c r="A102" s="97"/>
      <c r="B102" s="110"/>
      <c r="C102" s="182" t="s">
        <v>35</v>
      </c>
      <c r="D102" s="183"/>
      <c r="E102" s="183"/>
      <c r="F102" s="183"/>
      <c r="G102" s="184"/>
    </row>
    <row r="103" spans="1:10" ht="15.75" thickBot="1" x14ac:dyDescent="0.3">
      <c r="A103" s="111"/>
      <c r="B103" s="112"/>
      <c r="C103" s="113" t="s">
        <v>8</v>
      </c>
      <c r="D103" s="114" t="s">
        <v>9</v>
      </c>
      <c r="E103" s="114" t="s">
        <v>10</v>
      </c>
      <c r="F103" s="114" t="s">
        <v>11</v>
      </c>
      <c r="G103" s="114" t="s">
        <v>12</v>
      </c>
    </row>
    <row r="104" spans="1:10" x14ac:dyDescent="0.25">
      <c r="A104" s="115" t="s">
        <v>14</v>
      </c>
      <c r="B104" s="116"/>
      <c r="C104" s="117">
        <f>E22/6</f>
        <v>3.3833333333333329</v>
      </c>
      <c r="D104" s="118">
        <f>E22/7</f>
        <v>2.8999999999999995</v>
      </c>
      <c r="E104" s="118">
        <f>E22/8</f>
        <v>2.5374999999999996</v>
      </c>
      <c r="F104" s="118">
        <f>E22/9</f>
        <v>2.2555555555555551</v>
      </c>
      <c r="G104" s="118">
        <f>E22/10</f>
        <v>2.0299999999999998</v>
      </c>
    </row>
    <row r="105" spans="1:10" x14ac:dyDescent="0.25">
      <c r="C105" s="81" t="s">
        <v>77</v>
      </c>
      <c r="D105" s="63"/>
      <c r="E105" s="63"/>
      <c r="F105" s="63"/>
      <c r="G105" s="119" t="s">
        <v>90</v>
      </c>
    </row>
    <row r="106" spans="1:10" x14ac:dyDescent="0.25">
      <c r="C106" s="120"/>
    </row>
    <row r="107" spans="1:10" ht="3.75" customHeight="1" x14ac:dyDescent="0.25">
      <c r="C107" s="120"/>
    </row>
    <row r="108" spans="1:10" ht="19.5" customHeight="1" x14ac:dyDescent="0.25">
      <c r="A108" s="23" t="s">
        <v>26</v>
      </c>
      <c r="B108" s="51"/>
    </row>
    <row r="109" spans="1:10" ht="18.75" x14ac:dyDescent="0.25">
      <c r="A109" s="38" t="s">
        <v>6</v>
      </c>
      <c r="B109" s="51"/>
    </row>
    <row r="110" spans="1:10" ht="6" customHeight="1" x14ac:dyDescent="0.25"/>
    <row r="111" spans="1:10" ht="18" x14ac:dyDescent="0.25">
      <c r="A111" s="12" t="s">
        <v>142</v>
      </c>
    </row>
    <row r="113" spans="1:12" x14ac:dyDescent="0.25">
      <c r="A113" s="68" t="s">
        <v>19</v>
      </c>
      <c r="B113" s="25" t="s">
        <v>51</v>
      </c>
      <c r="C113" s="121">
        <f>(E22*E16)/(35.5*((2.57/E16)^(1/3))*2*(C48/100))</f>
        <v>1.7290175595719541</v>
      </c>
    </row>
    <row r="115" spans="1:12" x14ac:dyDescent="0.25">
      <c r="A115" s="53" t="s">
        <v>49</v>
      </c>
    </row>
    <row r="116" spans="1:12" x14ac:dyDescent="0.25">
      <c r="A116" s="24" t="s">
        <v>52</v>
      </c>
      <c r="B116" s="25" t="s">
        <v>50</v>
      </c>
      <c r="C116" s="7">
        <v>140</v>
      </c>
      <c r="L116" s="123"/>
    </row>
    <row r="117" spans="1:12" x14ac:dyDescent="0.25">
      <c r="A117" s="24" t="s">
        <v>53</v>
      </c>
      <c r="B117" s="25" t="s">
        <v>54</v>
      </c>
      <c r="C117" s="7">
        <v>50</v>
      </c>
    </row>
    <row r="118" spans="1:12" x14ac:dyDescent="0.25">
      <c r="A118" s="24" t="s">
        <v>55</v>
      </c>
      <c r="B118" s="25" t="s">
        <v>56</v>
      </c>
      <c r="C118" s="122">
        <f>((2*C113/(C116/100))-(C117/100))*100</f>
        <v>197.00250851027917</v>
      </c>
    </row>
    <row r="119" spans="1:12" x14ac:dyDescent="0.25">
      <c r="A119" s="24" t="s">
        <v>62</v>
      </c>
      <c r="B119" s="25" t="s">
        <v>61</v>
      </c>
      <c r="C119" s="124">
        <f>DEGREES(ATAN(C116/(C118-C117)))</f>
        <v>43.602330690842727</v>
      </c>
    </row>
    <row r="121" spans="1:12" ht="23.25" x14ac:dyDescent="0.25">
      <c r="A121" s="23" t="s">
        <v>138</v>
      </c>
    </row>
    <row r="123" spans="1:12" x14ac:dyDescent="0.25">
      <c r="A123" s="53" t="s">
        <v>97</v>
      </c>
    </row>
    <row r="124" spans="1:12" x14ac:dyDescent="0.25">
      <c r="A124" s="68" t="s">
        <v>0</v>
      </c>
      <c r="B124" s="90" t="s">
        <v>27</v>
      </c>
      <c r="C124" s="125">
        <f>C16</f>
        <v>1400</v>
      </c>
    </row>
    <row r="125" spans="1:12" x14ac:dyDescent="0.25">
      <c r="A125" s="24" t="s">
        <v>1</v>
      </c>
      <c r="B125" s="25" t="s">
        <v>28</v>
      </c>
      <c r="C125" s="126">
        <f>C18</f>
        <v>160</v>
      </c>
    </row>
    <row r="126" spans="1:12" x14ac:dyDescent="0.25">
      <c r="A126" s="24" t="s">
        <v>2</v>
      </c>
      <c r="B126" s="25" t="s">
        <v>29</v>
      </c>
      <c r="C126" s="126">
        <f>C19</f>
        <v>130</v>
      </c>
    </row>
    <row r="127" spans="1:12" x14ac:dyDescent="0.25">
      <c r="A127" s="24" t="s">
        <v>69</v>
      </c>
      <c r="B127" s="25"/>
      <c r="C127" s="127">
        <f>C21</f>
        <v>9.6551724137931032</v>
      </c>
    </row>
    <row r="128" spans="1:12" x14ac:dyDescent="0.25">
      <c r="A128" s="24" t="s">
        <v>4</v>
      </c>
      <c r="B128" s="25" t="s">
        <v>32</v>
      </c>
      <c r="C128" s="128">
        <f>E22</f>
        <v>20.299999999999997</v>
      </c>
    </row>
    <row r="129" spans="1:3" x14ac:dyDescent="0.25">
      <c r="A129" s="24" t="s">
        <v>22</v>
      </c>
      <c r="B129" s="25" t="s">
        <v>23</v>
      </c>
      <c r="C129" s="129">
        <f>C24</f>
        <v>700</v>
      </c>
    </row>
    <row r="130" spans="1:3" x14ac:dyDescent="0.25">
      <c r="A130" s="24" t="s">
        <v>24</v>
      </c>
      <c r="B130" s="25" t="s">
        <v>33</v>
      </c>
      <c r="C130" s="130">
        <f>C25</f>
        <v>34.482758620689658</v>
      </c>
    </row>
    <row r="131" spans="1:3" x14ac:dyDescent="0.25">
      <c r="A131" s="24" t="s">
        <v>94</v>
      </c>
      <c r="B131" s="25" t="s">
        <v>34</v>
      </c>
      <c r="C131" s="131">
        <f>C48</f>
        <v>407.34709649865158</v>
      </c>
    </row>
    <row r="132" spans="1:3" x14ac:dyDescent="0.25">
      <c r="A132" s="24" t="s">
        <v>48</v>
      </c>
      <c r="B132" s="25" t="s">
        <v>47</v>
      </c>
      <c r="C132" s="131">
        <f>C48-C145-(C125-((C158+C157)/2))</f>
        <v>259.01376316531827</v>
      </c>
    </row>
    <row r="133" spans="1:3" x14ac:dyDescent="0.25">
      <c r="A133" s="68" t="s">
        <v>57</v>
      </c>
      <c r="B133" s="25" t="s">
        <v>58</v>
      </c>
      <c r="C133" s="132">
        <f>C77</f>
        <v>3</v>
      </c>
    </row>
    <row r="134" spans="1:3" x14ac:dyDescent="0.25">
      <c r="A134" s="24" t="s">
        <v>59</v>
      </c>
      <c r="B134" s="25" t="s">
        <v>60</v>
      </c>
      <c r="C134" s="131">
        <f>C78</f>
        <v>73.572964685973531</v>
      </c>
    </row>
    <row r="135" spans="1:3" x14ac:dyDescent="0.25">
      <c r="A135" s="24" t="s">
        <v>101</v>
      </c>
      <c r="B135" s="25"/>
      <c r="C135" s="131">
        <f>C17</f>
        <v>190</v>
      </c>
    </row>
    <row r="136" spans="1:3" x14ac:dyDescent="0.25">
      <c r="A136" s="68" t="s">
        <v>124</v>
      </c>
      <c r="B136" s="90"/>
      <c r="C136" s="133">
        <f>C135+C125+C132+C140+C154</f>
        <v>762.34709649865169</v>
      </c>
    </row>
    <row r="137" spans="1:3" x14ac:dyDescent="0.25">
      <c r="C137" s="91"/>
    </row>
    <row r="138" spans="1:3" x14ac:dyDescent="0.25">
      <c r="A138" s="53" t="s">
        <v>46</v>
      </c>
      <c r="C138" s="91"/>
    </row>
    <row r="139" spans="1:3" x14ac:dyDescent="0.25">
      <c r="A139" s="24" t="s">
        <v>15</v>
      </c>
      <c r="B139" s="25" t="s">
        <v>39</v>
      </c>
      <c r="C139" s="128">
        <f>C94</f>
        <v>3.37</v>
      </c>
    </row>
    <row r="140" spans="1:3" x14ac:dyDescent="0.25">
      <c r="A140" s="24" t="s">
        <v>16</v>
      </c>
      <c r="B140" s="25" t="s">
        <v>40</v>
      </c>
      <c r="C140" s="131">
        <f>C88</f>
        <v>120</v>
      </c>
    </row>
    <row r="141" spans="1:3" x14ac:dyDescent="0.25">
      <c r="A141" s="24" t="s">
        <v>17</v>
      </c>
      <c r="B141" s="25" t="s">
        <v>41</v>
      </c>
      <c r="C141" s="131">
        <f>C95</f>
        <v>75</v>
      </c>
    </row>
    <row r="142" spans="1:3" x14ac:dyDescent="0.25">
      <c r="A142" s="24" t="s">
        <v>42</v>
      </c>
      <c r="B142" s="25" t="s">
        <v>37</v>
      </c>
      <c r="C142" s="131">
        <f>(C140+C141)/2</f>
        <v>97.5</v>
      </c>
    </row>
    <row r="143" spans="1:3" x14ac:dyDescent="0.25">
      <c r="A143" s="24" t="s">
        <v>18</v>
      </c>
      <c r="B143" s="25" t="s">
        <v>38</v>
      </c>
      <c r="C143" s="131">
        <f>C87</f>
        <v>350</v>
      </c>
    </row>
    <row r="144" spans="1:3" x14ac:dyDescent="0.25">
      <c r="A144" s="24" t="s">
        <v>68</v>
      </c>
      <c r="B144" s="25"/>
      <c r="C144" s="127">
        <f>C143/C142</f>
        <v>3.5897435897435899</v>
      </c>
    </row>
    <row r="145" spans="1:3" x14ac:dyDescent="0.25">
      <c r="A145" s="24" t="s">
        <v>44</v>
      </c>
      <c r="B145" s="25" t="s">
        <v>43</v>
      </c>
      <c r="C145" s="131">
        <f>C142/100*40</f>
        <v>39</v>
      </c>
    </row>
    <row r="146" spans="1:3" x14ac:dyDescent="0.25">
      <c r="C146" s="91"/>
    </row>
    <row r="147" spans="1:3" x14ac:dyDescent="0.25">
      <c r="A147" s="53" t="s">
        <v>95</v>
      </c>
      <c r="C147" s="91"/>
    </row>
    <row r="148" spans="1:3" x14ac:dyDescent="0.25">
      <c r="A148" s="24" t="s">
        <v>19</v>
      </c>
      <c r="B148" s="25" t="s">
        <v>51</v>
      </c>
      <c r="C148" s="134">
        <f>C113</f>
        <v>1.7290175595719541</v>
      </c>
    </row>
    <row r="149" spans="1:3" x14ac:dyDescent="0.25">
      <c r="A149" s="24" t="s">
        <v>52</v>
      </c>
      <c r="B149" s="25" t="s">
        <v>50</v>
      </c>
      <c r="C149" s="28">
        <f>C116</f>
        <v>140</v>
      </c>
    </row>
    <row r="150" spans="1:3" x14ac:dyDescent="0.25">
      <c r="A150" s="24" t="s">
        <v>53</v>
      </c>
      <c r="B150" s="25" t="s">
        <v>54</v>
      </c>
      <c r="C150" s="28">
        <f t="shared" ref="C150:C152" si="6">C117</f>
        <v>50</v>
      </c>
    </row>
    <row r="151" spans="1:3" x14ac:dyDescent="0.25">
      <c r="A151" s="24" t="s">
        <v>55</v>
      </c>
      <c r="B151" s="25" t="s">
        <v>56</v>
      </c>
      <c r="C151" s="131">
        <f t="shared" si="6"/>
        <v>197.00250851027917</v>
      </c>
    </row>
    <row r="152" spans="1:3" x14ac:dyDescent="0.25">
      <c r="A152" s="24" t="s">
        <v>62</v>
      </c>
      <c r="B152" s="25" t="s">
        <v>61</v>
      </c>
      <c r="C152" s="132">
        <f t="shared" si="6"/>
        <v>43.602330690842727</v>
      </c>
    </row>
    <row r="153" spans="1:3" x14ac:dyDescent="0.25">
      <c r="A153" s="135" t="s">
        <v>122</v>
      </c>
      <c r="B153" s="136"/>
      <c r="C153" s="137"/>
    </row>
    <row r="154" spans="1:3" x14ac:dyDescent="0.25">
      <c r="A154" s="115" t="s">
        <v>123</v>
      </c>
      <c r="B154" s="138"/>
      <c r="C154" s="139">
        <f>C150/3*2</f>
        <v>33.333333333333336</v>
      </c>
    </row>
    <row r="156" spans="1:3" x14ac:dyDescent="0.25">
      <c r="A156" s="53" t="s">
        <v>96</v>
      </c>
    </row>
    <row r="157" spans="1:3" x14ac:dyDescent="0.25">
      <c r="A157" s="24" t="s">
        <v>93</v>
      </c>
      <c r="B157" s="25" t="s">
        <v>45</v>
      </c>
      <c r="C157" s="71">
        <f>C125/100*30</f>
        <v>48</v>
      </c>
    </row>
    <row r="158" spans="1:3" x14ac:dyDescent="0.25">
      <c r="A158" s="24" t="s">
        <v>92</v>
      </c>
      <c r="B158" s="25" t="s">
        <v>45</v>
      </c>
      <c r="C158" s="71">
        <f>C125/3</f>
        <v>53.333333333333336</v>
      </c>
    </row>
  </sheetData>
  <sheetProtection algorithmName="SHA-512" hashValue="s0DqCXeNBMMDDzm0/rrBslvLQRI2sjRt9d3piJC78jBqPlr44AGZyIkE+E+TkJVqQZ8bItC0vPp0739POiHZhg==" saltValue="S1JdzbcWitD9IgeSsFSR3A==" spinCount="100000" sheet="1" objects="1" scenarios="1" selectLockedCells="1"/>
  <mergeCells count="2">
    <mergeCell ref="C102:G102"/>
    <mergeCell ref="B1:E1"/>
  </mergeCells>
  <pageMargins left="0.39370078740157483" right="0.39370078740157483" top="0.59055118110236227" bottom="0.39370078740157483" header="0.31496062992125984" footer="0.31496062992125984"/>
  <pageSetup paperSize="9" scale="91" fitToHeight="0" orientation="landscape" r:id="rId1"/>
  <headerFooter>
    <oddHeader>&amp;L&amp;F&amp;RSeite &amp;P von &amp;N</oddHeader>
    <oddFooter>&amp;Lwww.ch-forrer.ch&amp;RRegister: &amp;A</oddFooter>
  </headerFooter>
  <rowBreaks count="1" manualBreakCount="1">
    <brk id="10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71"/>
  <sheetViews>
    <sheetView zoomScale="130" zoomScaleNormal="130" workbookViewId="0">
      <selection activeCell="C10" sqref="C10"/>
    </sheetView>
  </sheetViews>
  <sheetFormatPr baseColWidth="10" defaultRowHeight="15" x14ac:dyDescent="0.25"/>
  <cols>
    <col min="1" max="1" width="42" customWidth="1"/>
    <col min="2" max="2" width="6.140625" style="141" customWidth="1"/>
    <col min="3" max="3" width="15.140625" customWidth="1"/>
    <col min="10" max="10" width="11.140625" customWidth="1"/>
    <col min="13" max="13" width="18.28515625" customWidth="1"/>
    <col min="14" max="26" width="10.5703125" customWidth="1"/>
  </cols>
  <sheetData>
    <row r="1" spans="1:26" ht="23.25" x14ac:dyDescent="0.35">
      <c r="A1" s="140" t="s">
        <v>105</v>
      </c>
      <c r="J1" s="142"/>
    </row>
    <row r="2" spans="1:26" x14ac:dyDescent="0.25">
      <c r="J2" s="142"/>
      <c r="M2" s="143" t="s">
        <v>116</v>
      </c>
    </row>
    <row r="3" spans="1:26" ht="21" x14ac:dyDescent="0.35">
      <c r="A3" s="144" t="str">
        <f>'Abmessungen ermitteln'!A1</f>
        <v>Modellname</v>
      </c>
      <c r="B3" s="145"/>
      <c r="C3" s="144" t="str">
        <f>'Abmessungen ermitteln'!B1</f>
        <v>Swift S140</v>
      </c>
      <c r="D3" s="144"/>
      <c r="J3" s="142"/>
      <c r="M3" s="143" t="s">
        <v>117</v>
      </c>
    </row>
    <row r="4" spans="1:26" ht="15.75" thickBot="1" x14ac:dyDescent="0.3">
      <c r="J4" s="142"/>
      <c r="M4" s="146" t="s">
        <v>107</v>
      </c>
      <c r="N4" s="147" t="s">
        <v>108</v>
      </c>
      <c r="O4" s="148"/>
      <c r="P4" s="148"/>
      <c r="Q4" s="149"/>
      <c r="R4" s="149"/>
      <c r="S4" s="149"/>
      <c r="T4" s="149"/>
      <c r="U4" s="149"/>
      <c r="V4" s="149"/>
      <c r="W4" s="149"/>
      <c r="X4" s="149"/>
      <c r="Y4" s="149"/>
      <c r="Z4" s="150"/>
    </row>
    <row r="5" spans="1:26" ht="15.75" thickTop="1" x14ac:dyDescent="0.25">
      <c r="J5" s="142"/>
      <c r="M5" s="151"/>
      <c r="N5" s="152"/>
      <c r="O5" s="143"/>
      <c r="P5" s="143"/>
      <c r="Z5" s="142"/>
    </row>
    <row r="6" spans="1:26" x14ac:dyDescent="0.25">
      <c r="J6" s="142"/>
      <c r="M6" s="151"/>
      <c r="N6" s="152"/>
      <c r="O6" s="143"/>
      <c r="P6" s="143"/>
      <c r="Z6" s="142"/>
    </row>
    <row r="7" spans="1:26" x14ac:dyDescent="0.25">
      <c r="A7" s="143" t="s">
        <v>106</v>
      </c>
      <c r="J7" s="142"/>
      <c r="M7" s="153"/>
      <c r="N7" s="154">
        <v>0</v>
      </c>
      <c r="O7" s="155">
        <v>0</v>
      </c>
      <c r="P7" s="155">
        <f>C46</f>
        <v>190</v>
      </c>
      <c r="Q7" s="156">
        <f>C46+((C48-C49)/2)</f>
        <v>205</v>
      </c>
      <c r="R7" s="156">
        <f>C46+((C48-C49)/2)+C49</f>
        <v>335</v>
      </c>
      <c r="S7" s="156">
        <f>C46+C48</f>
        <v>350</v>
      </c>
      <c r="T7" s="156">
        <f>C46+C48</f>
        <v>350</v>
      </c>
      <c r="U7" s="156">
        <f>C46+C48+C51</f>
        <v>609.01376316531832</v>
      </c>
      <c r="V7" s="156">
        <f>C46+C48+C51</f>
        <v>609.01376316531832</v>
      </c>
      <c r="W7" s="156">
        <f>(C46+C48+C51) +(C56-C57)</f>
        <v>654.01376316531832</v>
      </c>
      <c r="X7" s="156">
        <f>(C46+C48+C51) +C56</f>
        <v>729.01376316531832</v>
      </c>
      <c r="Y7" s="156">
        <f>(C46+C48+C51) +C56</f>
        <v>729.01376316531832</v>
      </c>
      <c r="Z7" s="155">
        <f>(C47/2)</f>
        <v>700</v>
      </c>
    </row>
    <row r="8" spans="1:26" x14ac:dyDescent="0.25">
      <c r="C8" t="s">
        <v>126</v>
      </c>
      <c r="J8" s="142"/>
      <c r="M8" s="157" t="s">
        <v>112</v>
      </c>
      <c r="N8" s="158">
        <f>(C47/2)</f>
        <v>700</v>
      </c>
      <c r="O8" s="159"/>
      <c r="P8" s="159"/>
      <c r="Q8" s="159"/>
      <c r="R8" s="159"/>
      <c r="S8" s="159"/>
      <c r="T8" s="159"/>
      <c r="U8" s="159"/>
      <c r="V8" s="159"/>
      <c r="W8" s="159"/>
      <c r="X8" s="159"/>
      <c r="Y8" s="159"/>
      <c r="Z8" s="159">
        <f>(C47/2)</f>
        <v>700</v>
      </c>
    </row>
    <row r="9" spans="1:26" x14ac:dyDescent="0.25">
      <c r="A9" s="143" t="s">
        <v>98</v>
      </c>
      <c r="C9" t="s">
        <v>127</v>
      </c>
      <c r="J9" s="142"/>
      <c r="M9" s="157" t="s">
        <v>113</v>
      </c>
      <c r="N9" s="160">
        <f>N8*-1</f>
        <v>-700</v>
      </c>
      <c r="O9" s="161"/>
      <c r="P9" s="161"/>
      <c r="Q9" s="161"/>
      <c r="R9" s="161"/>
      <c r="S9" s="161"/>
      <c r="T9" s="161"/>
      <c r="U9" s="161"/>
      <c r="V9" s="161"/>
      <c r="W9" s="161"/>
      <c r="X9" s="161"/>
      <c r="Y9" s="161"/>
      <c r="Z9" s="161">
        <f>Z8*-1</f>
        <v>-700</v>
      </c>
    </row>
    <row r="10" spans="1:26" x14ac:dyDescent="0.25">
      <c r="A10" s="162" t="s">
        <v>99</v>
      </c>
      <c r="B10" s="161"/>
      <c r="C10" s="10">
        <v>40</v>
      </c>
      <c r="J10" s="142"/>
      <c r="M10" s="157" t="s">
        <v>98</v>
      </c>
      <c r="N10" s="160"/>
      <c r="O10" s="161">
        <f>C10/2</f>
        <v>20</v>
      </c>
      <c r="P10" s="161">
        <f>C11/2</f>
        <v>25</v>
      </c>
      <c r="Q10" s="161"/>
      <c r="R10" s="161"/>
      <c r="S10" s="161"/>
      <c r="T10" s="161">
        <f>C11/2</f>
        <v>25</v>
      </c>
      <c r="U10" s="161">
        <f>C12/2</f>
        <v>10</v>
      </c>
      <c r="V10" s="161"/>
      <c r="W10" s="161"/>
      <c r="X10" s="161"/>
      <c r="Y10" s="161"/>
      <c r="Z10" s="161"/>
    </row>
    <row r="11" spans="1:26" x14ac:dyDescent="0.25">
      <c r="A11" s="162" t="s">
        <v>100</v>
      </c>
      <c r="B11" s="161"/>
      <c r="C11" s="10">
        <v>50</v>
      </c>
      <c r="J11" s="142"/>
      <c r="M11" s="157" t="s">
        <v>109</v>
      </c>
      <c r="N11" s="160"/>
      <c r="O11" s="161">
        <f>O10*-1</f>
        <v>-20</v>
      </c>
      <c r="P11" s="161">
        <f t="shared" ref="P11:U11" si="0">P10*-1</f>
        <v>-25</v>
      </c>
      <c r="Q11" s="161"/>
      <c r="R11" s="161"/>
      <c r="S11" s="161"/>
      <c r="T11" s="161">
        <f t="shared" si="0"/>
        <v>-25</v>
      </c>
      <c r="U11" s="161">
        <f t="shared" si="0"/>
        <v>-10</v>
      </c>
      <c r="V11" s="161"/>
      <c r="W11" s="161"/>
      <c r="X11" s="161"/>
      <c r="Y11" s="161"/>
      <c r="Z11" s="161"/>
    </row>
    <row r="12" spans="1:26" x14ac:dyDescent="0.25">
      <c r="A12" s="162" t="s">
        <v>115</v>
      </c>
      <c r="B12" s="161"/>
      <c r="C12" s="10">
        <v>20</v>
      </c>
      <c r="J12" s="142"/>
      <c r="M12" s="157" t="s">
        <v>110</v>
      </c>
      <c r="N12" s="160"/>
      <c r="O12" s="161"/>
      <c r="P12" s="161">
        <f>C11/2</f>
        <v>25</v>
      </c>
      <c r="Q12" s="163">
        <f>C47/2</f>
        <v>700</v>
      </c>
      <c r="R12" s="161">
        <f>C47/2</f>
        <v>700</v>
      </c>
      <c r="S12" s="161">
        <f>C11/2</f>
        <v>25</v>
      </c>
      <c r="T12" s="161"/>
      <c r="U12" s="161"/>
      <c r="V12" s="161"/>
      <c r="W12" s="161"/>
      <c r="X12" s="161"/>
      <c r="Y12" s="161"/>
      <c r="Z12" s="161"/>
    </row>
    <row r="13" spans="1:26" x14ac:dyDescent="0.25">
      <c r="A13" s="162" t="s">
        <v>102</v>
      </c>
      <c r="B13" s="161"/>
      <c r="C13" s="10">
        <v>40</v>
      </c>
      <c r="J13" s="142"/>
      <c r="M13" s="157" t="s">
        <v>111</v>
      </c>
      <c r="N13" s="160"/>
      <c r="O13" s="161"/>
      <c r="P13" s="161">
        <f>P12*-1</f>
        <v>-25</v>
      </c>
      <c r="Q13" s="161">
        <f t="shared" ref="Q13:S13" si="1">Q12*-1</f>
        <v>-700</v>
      </c>
      <c r="R13" s="161">
        <f t="shared" si="1"/>
        <v>-700</v>
      </c>
      <c r="S13" s="161">
        <f t="shared" si="1"/>
        <v>-25</v>
      </c>
      <c r="T13" s="161"/>
      <c r="U13" s="161"/>
      <c r="V13" s="161"/>
      <c r="W13" s="161"/>
      <c r="X13" s="161"/>
      <c r="Y13" s="161"/>
      <c r="Z13" s="161"/>
    </row>
    <row r="14" spans="1:26" x14ac:dyDescent="0.25">
      <c r="A14" s="162" t="s">
        <v>103</v>
      </c>
      <c r="B14" s="161"/>
      <c r="C14" s="10">
        <v>55</v>
      </c>
      <c r="J14" s="142"/>
      <c r="M14" s="157" t="s">
        <v>46</v>
      </c>
      <c r="N14" s="160"/>
      <c r="O14" s="161"/>
      <c r="P14" s="161"/>
      <c r="Q14" s="161"/>
      <c r="R14" s="161"/>
      <c r="S14" s="161"/>
      <c r="T14" s="161"/>
      <c r="U14" s="161"/>
      <c r="V14" s="161">
        <f>C12/2</f>
        <v>10</v>
      </c>
      <c r="W14" s="161">
        <f>C59/2</f>
        <v>175</v>
      </c>
      <c r="X14" s="161">
        <f>C59/2</f>
        <v>175</v>
      </c>
      <c r="Y14" s="161">
        <v>0</v>
      </c>
      <c r="Z14" s="161"/>
    </row>
    <row r="15" spans="1:26" x14ac:dyDescent="0.25">
      <c r="A15" s="162" t="s">
        <v>104</v>
      </c>
      <c r="B15" s="161"/>
      <c r="C15" s="10">
        <v>20</v>
      </c>
      <c r="J15" s="142"/>
      <c r="M15" s="157" t="s">
        <v>114</v>
      </c>
      <c r="N15" s="160"/>
      <c r="O15" s="161"/>
      <c r="P15" s="161"/>
      <c r="Q15" s="161"/>
      <c r="R15" s="161"/>
      <c r="S15" s="161"/>
      <c r="T15" s="161"/>
      <c r="U15" s="161"/>
      <c r="V15" s="161">
        <f>V14*-1</f>
        <v>-10</v>
      </c>
      <c r="W15" s="161">
        <f t="shared" ref="W15:Y15" si="2">W14*-1</f>
        <v>-175</v>
      </c>
      <c r="X15" s="161">
        <f t="shared" si="2"/>
        <v>-175</v>
      </c>
      <c r="Y15" s="161">
        <f t="shared" si="2"/>
        <v>0</v>
      </c>
      <c r="Z15" s="161"/>
    </row>
    <row r="16" spans="1:26" x14ac:dyDescent="0.25">
      <c r="J16" s="142"/>
    </row>
    <row r="17" spans="10:27" x14ac:dyDescent="0.25">
      <c r="J17" s="142"/>
    </row>
    <row r="18" spans="10:27" x14ac:dyDescent="0.25">
      <c r="J18" s="142"/>
    </row>
    <row r="19" spans="10:27" x14ac:dyDescent="0.25">
      <c r="J19" s="142"/>
      <c r="M19" s="143" t="s">
        <v>116</v>
      </c>
      <c r="T19" s="157" t="s">
        <v>121</v>
      </c>
      <c r="U19" s="164"/>
      <c r="V19" s="164"/>
      <c r="W19" s="164"/>
      <c r="X19" s="165"/>
    </row>
    <row r="20" spans="10:27" x14ac:dyDescent="0.25">
      <c r="J20" s="142"/>
      <c r="M20" s="143" t="s">
        <v>118</v>
      </c>
      <c r="T20" s="162">
        <f>1/(X22-R22)*(T22-R22)</f>
        <v>0.58461051242955098</v>
      </c>
      <c r="U20" s="162">
        <f>1/(X22-R22)*(U22-R22)</f>
        <v>0.95770029317561245</v>
      </c>
      <c r="V20" s="162">
        <v>1</v>
      </c>
      <c r="W20" s="162">
        <v>1</v>
      </c>
      <c r="X20" s="162">
        <v>1</v>
      </c>
    </row>
    <row r="21" spans="10:27" ht="15.75" thickBot="1" x14ac:dyDescent="0.3">
      <c r="J21" s="142"/>
      <c r="M21" s="146" t="s">
        <v>107</v>
      </c>
      <c r="N21" s="147" t="s">
        <v>108</v>
      </c>
      <c r="O21" s="148"/>
      <c r="P21" s="148"/>
      <c r="Q21" s="148"/>
      <c r="R21" s="149"/>
      <c r="S21" s="149"/>
      <c r="T21" s="149"/>
      <c r="U21" s="149"/>
      <c r="V21" s="149"/>
      <c r="W21" s="149"/>
      <c r="X21" s="149"/>
      <c r="Y21" s="149"/>
      <c r="Z21" s="149"/>
      <c r="AA21" s="150"/>
    </row>
    <row r="22" spans="10:27" ht="15.75" thickTop="1" x14ac:dyDescent="0.25">
      <c r="J22" s="142"/>
      <c r="M22" s="153"/>
      <c r="N22" s="154">
        <v>0</v>
      </c>
      <c r="O22" s="155">
        <v>0</v>
      </c>
      <c r="P22" s="155">
        <f>P7</f>
        <v>190</v>
      </c>
      <c r="Q22" s="156">
        <f>Q7</f>
        <v>205</v>
      </c>
      <c r="R22" s="156">
        <f>R7</f>
        <v>335</v>
      </c>
      <c r="S22" s="156">
        <f>S7</f>
        <v>350</v>
      </c>
      <c r="T22" s="156">
        <f>C46+C48+C51+C56-C66+C68</f>
        <v>565.3445879883725</v>
      </c>
      <c r="U22" s="156">
        <f>C46+C48+C51+C56-C66+(C66-C65)+C68</f>
        <v>712.34709649865169</v>
      </c>
      <c r="V22" s="156">
        <f>C46+C48+C51+C56-C66+(C66-C65)+C65</f>
        <v>729.01376316531832</v>
      </c>
      <c r="W22" s="156">
        <f>C46+C48+C51+C56-C66+(C66-C65)+C65</f>
        <v>729.01376316531832</v>
      </c>
      <c r="X22" s="156">
        <f>C46+C48+C51+C56</f>
        <v>729.01376316531832</v>
      </c>
      <c r="Y22" s="156">
        <f>C46+C48+C51+C56+C68</f>
        <v>762.34709649865169</v>
      </c>
      <c r="Z22" s="156">
        <f>C46+C48+C51+C56+C68</f>
        <v>762.34709649865169</v>
      </c>
      <c r="AA22" s="156">
        <f>Z7</f>
        <v>700</v>
      </c>
    </row>
    <row r="23" spans="10:27" x14ac:dyDescent="0.25">
      <c r="J23" s="142"/>
      <c r="M23" s="157" t="s">
        <v>112</v>
      </c>
      <c r="N23" s="158">
        <f>(C47/2)</f>
        <v>700</v>
      </c>
      <c r="O23" s="159"/>
      <c r="P23" s="159"/>
      <c r="Q23" s="159"/>
      <c r="R23" s="159"/>
      <c r="S23" s="159"/>
      <c r="T23" s="159"/>
      <c r="U23" s="159"/>
      <c r="V23" s="159"/>
      <c r="W23" s="159"/>
      <c r="X23" s="159"/>
      <c r="Y23" s="159"/>
      <c r="Z23" s="159"/>
      <c r="AA23" s="159"/>
    </row>
    <row r="24" spans="10:27" x14ac:dyDescent="0.25">
      <c r="J24" s="142"/>
      <c r="M24" s="157" t="s">
        <v>119</v>
      </c>
      <c r="N24" s="160"/>
      <c r="O24" s="163">
        <f>(C14-C13)/2</f>
        <v>7.5</v>
      </c>
      <c r="P24" s="163">
        <v>0</v>
      </c>
      <c r="Q24" s="163">
        <v>0</v>
      </c>
      <c r="R24" s="161">
        <v>0</v>
      </c>
      <c r="S24" s="161">
        <v>0</v>
      </c>
      <c r="T24" s="163">
        <f>(C14-C12)*T20</f>
        <v>20.461367935034286</v>
      </c>
      <c r="U24" s="163">
        <f>(C14-C12)*U20</f>
        <v>33.519510261146436</v>
      </c>
      <c r="V24" s="163">
        <f>C14-C12</f>
        <v>35</v>
      </c>
      <c r="W24" s="163">
        <f>C14-C12</f>
        <v>35</v>
      </c>
      <c r="X24" s="163">
        <f>C14</f>
        <v>55</v>
      </c>
      <c r="Y24" s="163"/>
      <c r="Z24" s="163"/>
      <c r="AA24" s="161"/>
    </row>
    <row r="25" spans="10:27" x14ac:dyDescent="0.25">
      <c r="J25" s="142"/>
      <c r="M25" s="157" t="s">
        <v>120</v>
      </c>
      <c r="N25" s="160"/>
      <c r="O25" s="163">
        <f>((C14-C13)/2)+C13</f>
        <v>47.5</v>
      </c>
      <c r="P25" s="163">
        <f>C14</f>
        <v>55</v>
      </c>
      <c r="Q25" s="163">
        <f>C14</f>
        <v>55</v>
      </c>
      <c r="R25" s="163">
        <f>C14</f>
        <v>55</v>
      </c>
      <c r="S25" s="163">
        <f>C14</f>
        <v>55</v>
      </c>
      <c r="T25" s="163">
        <f>C14</f>
        <v>55</v>
      </c>
      <c r="U25" s="163">
        <f>C14</f>
        <v>55</v>
      </c>
      <c r="V25" s="163">
        <f>C14</f>
        <v>55</v>
      </c>
      <c r="W25" s="163">
        <f>C14</f>
        <v>55</v>
      </c>
      <c r="X25" s="163">
        <f>C14</f>
        <v>55</v>
      </c>
      <c r="Y25" s="163"/>
      <c r="Z25" s="163"/>
      <c r="AA25" s="161"/>
    </row>
    <row r="26" spans="10:27" x14ac:dyDescent="0.25">
      <c r="J26" s="142"/>
      <c r="M26" s="157" t="s">
        <v>95</v>
      </c>
      <c r="N26" s="160"/>
      <c r="O26" s="161"/>
      <c r="P26" s="161"/>
      <c r="Q26" s="161"/>
      <c r="R26" s="161"/>
      <c r="S26" s="161"/>
      <c r="T26" s="163">
        <f>C14-C15</f>
        <v>35</v>
      </c>
      <c r="U26" s="163">
        <f>C64+C14-C15</f>
        <v>175</v>
      </c>
      <c r="V26" s="163">
        <f>C64+C14-C15</f>
        <v>175</v>
      </c>
      <c r="W26" s="163">
        <f>C64+C14-C15</f>
        <v>175</v>
      </c>
      <c r="X26" s="163">
        <f>C64+C14-C15</f>
        <v>175</v>
      </c>
      <c r="Y26" s="163">
        <f>C64+C14-C15</f>
        <v>175</v>
      </c>
      <c r="Z26" s="163">
        <f>C14-C15</f>
        <v>35</v>
      </c>
      <c r="AA26" s="162"/>
    </row>
    <row r="27" spans="10:27" x14ac:dyDescent="0.25">
      <c r="J27" s="142"/>
      <c r="M27" s="157" t="s">
        <v>110</v>
      </c>
      <c r="N27" s="160"/>
      <c r="O27" s="161"/>
      <c r="P27" s="163">
        <f>C14</f>
        <v>55</v>
      </c>
      <c r="Q27" s="163">
        <f>C14+C52</f>
        <v>128.57296468597355</v>
      </c>
      <c r="R27" s="163">
        <f>C14+C52</f>
        <v>128.57296468597355</v>
      </c>
      <c r="S27" s="163">
        <f>C14</f>
        <v>55</v>
      </c>
      <c r="T27" s="161"/>
      <c r="U27" s="161"/>
      <c r="V27" s="161"/>
      <c r="W27" s="161"/>
      <c r="X27" s="161"/>
      <c r="Y27" s="161"/>
      <c r="Z27" s="161"/>
      <c r="AA27" s="162"/>
    </row>
    <row r="28" spans="10:27" x14ac:dyDescent="0.25">
      <c r="J28" s="142"/>
      <c r="M28" s="157"/>
      <c r="N28" s="160"/>
      <c r="O28" s="161"/>
      <c r="P28" s="161"/>
      <c r="Q28" s="161"/>
      <c r="R28" s="161"/>
      <c r="S28" s="161"/>
      <c r="T28" s="161"/>
      <c r="U28" s="161"/>
      <c r="V28" s="161"/>
      <c r="W28" s="161"/>
      <c r="X28" s="161"/>
      <c r="Y28" s="161"/>
      <c r="Z28" s="161"/>
      <c r="AA28" s="162"/>
    </row>
    <row r="29" spans="10:27" x14ac:dyDescent="0.25">
      <c r="J29" s="142"/>
    </row>
    <row r="30" spans="10:27" x14ac:dyDescent="0.25">
      <c r="J30" s="142"/>
    </row>
    <row r="31" spans="10:27" x14ac:dyDescent="0.25">
      <c r="J31" s="142"/>
    </row>
    <row r="32" spans="10:27" x14ac:dyDescent="0.25">
      <c r="J32" s="142"/>
    </row>
    <row r="33" spans="1:10" x14ac:dyDescent="0.25">
      <c r="J33" s="142"/>
    </row>
    <row r="34" spans="1:10" x14ac:dyDescent="0.25">
      <c r="J34" s="142"/>
    </row>
    <row r="35" spans="1:10" x14ac:dyDescent="0.25">
      <c r="J35" s="142"/>
    </row>
    <row r="36" spans="1:10" x14ac:dyDescent="0.25">
      <c r="J36" s="142"/>
    </row>
    <row r="37" spans="1:10" x14ac:dyDescent="0.25">
      <c r="J37" s="142"/>
    </row>
    <row r="38" spans="1:10" x14ac:dyDescent="0.25">
      <c r="J38" s="142"/>
    </row>
    <row r="39" spans="1:10" x14ac:dyDescent="0.25">
      <c r="A39" s="166"/>
      <c r="B39" s="167"/>
      <c r="C39" s="166"/>
      <c r="D39" s="166"/>
      <c r="E39" s="166"/>
      <c r="F39" s="166"/>
      <c r="G39" s="166"/>
      <c r="H39" s="166"/>
      <c r="I39" s="166"/>
      <c r="J39" s="168"/>
    </row>
    <row r="43" spans="1:10" x14ac:dyDescent="0.25">
      <c r="A43" s="143" t="s">
        <v>128</v>
      </c>
    </row>
    <row r="45" spans="1:10" x14ac:dyDescent="0.25">
      <c r="A45" s="143" t="str">
        <f>'Abmessungen ermitteln'!A123</f>
        <v>Hauptdaten des Modell, Flügel</v>
      </c>
    </row>
    <row r="46" spans="1:10" x14ac:dyDescent="0.25">
      <c r="A46" s="162" t="s">
        <v>101</v>
      </c>
      <c r="B46" s="161"/>
      <c r="C46" s="169">
        <f>'Abmessungen ermitteln'!C135</f>
        <v>190</v>
      </c>
    </row>
    <row r="47" spans="1:10" x14ac:dyDescent="0.25">
      <c r="A47" s="162" t="str">
        <f>'Abmessungen ermitteln'!A124</f>
        <v>Spannweite</v>
      </c>
      <c r="B47" s="161" t="str">
        <f>'Abmessungen ermitteln'!B124</f>
        <v>SW</v>
      </c>
      <c r="C47" s="169">
        <f>'Abmessungen ermitteln'!C124</f>
        <v>1400</v>
      </c>
    </row>
    <row r="48" spans="1:10" x14ac:dyDescent="0.25">
      <c r="A48" s="162" t="str">
        <f>'Abmessungen ermitteln'!A125</f>
        <v>Flügelbreite innen</v>
      </c>
      <c r="B48" s="161" t="str">
        <f>'Abmessungen ermitteln'!B125</f>
        <v>Fbi</v>
      </c>
      <c r="C48" s="169">
        <f>'Abmessungen ermitteln'!C125</f>
        <v>160</v>
      </c>
    </row>
    <row r="49" spans="1:3" x14ac:dyDescent="0.25">
      <c r="A49" s="162" t="str">
        <f>'Abmessungen ermitteln'!A126</f>
        <v>Flügelbreite Aussen</v>
      </c>
      <c r="B49" s="161" t="str">
        <f>'Abmessungen ermitteln'!B126</f>
        <v>Fba</v>
      </c>
      <c r="C49" s="169">
        <f>'Abmessungen ermitteln'!C126</f>
        <v>130</v>
      </c>
    </row>
    <row r="50" spans="1:3" x14ac:dyDescent="0.25">
      <c r="A50" s="162" t="str">
        <f>'Abmessungen ermitteln'!A131</f>
        <v>Leitwerkshebelarm (gerechnet)</v>
      </c>
      <c r="B50" s="161" t="str">
        <f>'Abmessungen ermitteln'!B131</f>
        <v>RH</v>
      </c>
      <c r="C50" s="170">
        <f>'Abmessungen ermitteln'!C131</f>
        <v>407.34709649865158</v>
      </c>
    </row>
    <row r="51" spans="1:3" x14ac:dyDescent="0.25">
      <c r="A51" s="162" t="str">
        <f>'Abmessungen ermitteln'!A132</f>
        <v>Min. Leitwerksabstand (Höhenruder) zum Flügel</v>
      </c>
      <c r="B51" s="161" t="str">
        <f>'Abmessungen ermitteln'!B132</f>
        <v>Lwa</v>
      </c>
      <c r="C51" s="170">
        <f>'Abmessungen ermitteln'!C132</f>
        <v>259.01376316531827</v>
      </c>
    </row>
    <row r="52" spans="1:3" x14ac:dyDescent="0.25">
      <c r="A52" s="162" t="str">
        <f>'Abmessungen ermitteln'!$A$134</f>
        <v>Unterlegedistanz Flügel beim Bauen</v>
      </c>
      <c r="B52" s="161" t="str">
        <f>'Abmessungen ermitteln'!$B$134</f>
        <v>Av</v>
      </c>
      <c r="C52" s="170">
        <f>'Abmessungen ermitteln'!$C$134</f>
        <v>73.572964685973531</v>
      </c>
    </row>
    <row r="53" spans="1:3" x14ac:dyDescent="0.25">
      <c r="C53" s="171"/>
    </row>
    <row r="54" spans="1:3" x14ac:dyDescent="0.25">
      <c r="A54" s="143" t="str">
        <f>'Abmessungen ermitteln'!A138</f>
        <v>Höhenleitwerk</v>
      </c>
      <c r="C54" s="171"/>
    </row>
    <row r="55" spans="1:3" x14ac:dyDescent="0.25">
      <c r="A55" s="162" t="str">
        <f>'Abmessungen ermitteln'!A139</f>
        <v>Gewählte HL-Fläche</v>
      </c>
      <c r="B55" s="161" t="str">
        <f>'Abmessungen ermitteln'!B139</f>
        <v>HA</v>
      </c>
      <c r="C55" s="172">
        <f>'Abmessungen ermitteln'!C139</f>
        <v>3.37</v>
      </c>
    </row>
    <row r="56" spans="1:3" x14ac:dyDescent="0.25">
      <c r="A56" s="162" t="str">
        <f>'Abmessungen ermitteln'!A140</f>
        <v>Gewählte HL- Breite innen</v>
      </c>
      <c r="B56" s="161" t="str">
        <f>'Abmessungen ermitteln'!B140</f>
        <v>Hbi</v>
      </c>
      <c r="C56" s="170">
        <f>'Abmessungen ermitteln'!C140</f>
        <v>120</v>
      </c>
    </row>
    <row r="57" spans="1:3" x14ac:dyDescent="0.25">
      <c r="A57" s="162" t="str">
        <f>'Abmessungen ermitteln'!A141</f>
        <v>Gewählte HL- Breite aussen</v>
      </c>
      <c r="B57" s="161" t="str">
        <f>'Abmessungen ermitteln'!B141</f>
        <v>Hba</v>
      </c>
      <c r="C57" s="170">
        <f>'Abmessungen ermitteln'!C141</f>
        <v>75</v>
      </c>
    </row>
    <row r="58" spans="1:3" x14ac:dyDescent="0.25">
      <c r="A58" s="162" t="str">
        <f>'Abmessungen ermitteln'!A142</f>
        <v>Mittlere Höhenleitwerkstiefe</v>
      </c>
      <c r="B58" s="161" t="str">
        <f>'Abmessungen ermitteln'!B142</f>
        <v>Htm</v>
      </c>
      <c r="C58" s="170">
        <f>'Abmessungen ermitteln'!C142</f>
        <v>97.5</v>
      </c>
    </row>
    <row r="59" spans="1:3" x14ac:dyDescent="0.25">
      <c r="A59" s="162" t="str">
        <f>'Abmessungen ermitteln'!A143</f>
        <v>Höhenleitwerk Spannweite</v>
      </c>
      <c r="B59" s="161" t="str">
        <f>'Abmessungen ermitteln'!B143</f>
        <v>HW</v>
      </c>
      <c r="C59" s="170">
        <f>'Abmessungen ermitteln'!C143</f>
        <v>350</v>
      </c>
    </row>
    <row r="60" spans="1:3" x14ac:dyDescent="0.25">
      <c r="A60" s="162"/>
      <c r="B60" s="161"/>
      <c r="C60" s="173"/>
    </row>
    <row r="61" spans="1:3" x14ac:dyDescent="0.25">
      <c r="A61" s="162" t="str">
        <f>'Abmessungen ermitteln'!A145</f>
        <v>Ungefährer Schwerpunktsabstand Höhenruder</v>
      </c>
      <c r="B61" s="161" t="str">
        <f>'Abmessungen ermitteln'!B145</f>
        <v>sph</v>
      </c>
      <c r="C61" s="170">
        <f>'Abmessungen ermitteln'!C145</f>
        <v>39</v>
      </c>
    </row>
    <row r="62" spans="1:3" x14ac:dyDescent="0.25">
      <c r="C62" s="171"/>
    </row>
    <row r="63" spans="1:3" x14ac:dyDescent="0.25">
      <c r="A63" s="143" t="str">
        <f>'Abmessungen ermitteln'!A147</f>
        <v>Seitenleitwerk</v>
      </c>
      <c r="C63" s="171"/>
    </row>
    <row r="64" spans="1:3" x14ac:dyDescent="0.25">
      <c r="A64" s="162" t="str">
        <f>'Abmessungen ermitteln'!A149</f>
        <v>Seitenleitwerkshöhe</v>
      </c>
      <c r="B64" s="161" t="str">
        <f>'Abmessungen ermitteln'!B149</f>
        <v>SH</v>
      </c>
      <c r="C64" s="174">
        <f>'Abmessungen ermitteln'!C149</f>
        <v>140</v>
      </c>
    </row>
    <row r="65" spans="1:3" x14ac:dyDescent="0.25">
      <c r="A65" s="162" t="str">
        <f>'Abmessungen ermitteln'!A150</f>
        <v>Seitenleitwerkslänge oben</v>
      </c>
      <c r="B65" s="161" t="str">
        <f>'Abmessungen ermitteln'!B150</f>
        <v>Sba</v>
      </c>
      <c r="C65" s="174">
        <f>'Abmessungen ermitteln'!C150</f>
        <v>50</v>
      </c>
    </row>
    <row r="66" spans="1:3" x14ac:dyDescent="0.25">
      <c r="A66" s="162" t="str">
        <f>'Abmessungen ermitteln'!A151</f>
        <v>Seitenleitwerkslänge unten</v>
      </c>
      <c r="B66" s="161" t="str">
        <f>'Abmessungen ermitteln'!B151</f>
        <v>Sbu</v>
      </c>
      <c r="C66" s="170">
        <f>'Abmessungen ermitteln'!C151</f>
        <v>197.00250851027917</v>
      </c>
    </row>
    <row r="67" spans="1:3" x14ac:dyDescent="0.25">
      <c r="A67" s="175" t="s">
        <v>122</v>
      </c>
      <c r="B67" s="176"/>
      <c r="C67" s="177"/>
    </row>
    <row r="68" spans="1:3" x14ac:dyDescent="0.25">
      <c r="A68" s="178" t="s">
        <v>123</v>
      </c>
      <c r="B68" s="159"/>
      <c r="C68" s="179">
        <f>'Abmessungen ermitteln'!C154</f>
        <v>33.333333333333336</v>
      </c>
    </row>
    <row r="69" spans="1:3" x14ac:dyDescent="0.25">
      <c r="C69" s="180"/>
    </row>
    <row r="71" spans="1:3" x14ac:dyDescent="0.25">
      <c r="A71" s="162" t="str">
        <f>'Abmessungen ermitteln'!A157</f>
        <v>Schwerpunkt 30% von Flächentiefe</v>
      </c>
      <c r="B71" s="161" t="str">
        <f>'Abmessungen ermitteln'!B157</f>
        <v>SPf</v>
      </c>
      <c r="C71" s="181">
        <f>'Abmessungen ermitteln'!C157</f>
        <v>48</v>
      </c>
    </row>
  </sheetData>
  <sheetProtection algorithmName="SHA-512" hashValue="Uxqet2jiLXvWsTGT/AlfRIqwnWj6bZ0Ct5FxzWDTYqpNvS261Xv3o2eWRj8wwdryqmg8lrqzSlWPJjhoVxg7oQ==" saltValue="x2YiwSri0uYJ30hRyTT33g==" spinCount="100000" sheet="1" objects="1" scenarios="1" selectLockedCells="1"/>
  <pageMargins left="0.70866141732283472" right="0.70866141732283472" top="0.78740157480314965" bottom="0.78740157480314965" header="0.31496062992125984" footer="0.31496062992125984"/>
  <pageSetup paperSize="9" scale="82" orientation="landscape" r:id="rId1"/>
  <headerFooter>
    <oddHeader>&amp;L&amp;F</oddHeader>
    <oddFooter>&amp;Lwww.ch-forrer.ch&amp;RRegister: &amp;A</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Abmessungen ermitteln</vt:lpstr>
      <vt:lpstr>Kontur-Kontrolle</vt:lpstr>
      <vt:lpstr>'Abmessungen ermitteln'!Druckbereich</vt:lpstr>
      <vt:lpstr>'Kontur-Kontrolle'!Druckbereich</vt:lpstr>
    </vt:vector>
  </TitlesOfParts>
  <Company>Mettler-Toledo International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Forrer Christian MTANA</dc:creator>
  <cp:lastModifiedBy>Christian Forrer</cp:lastModifiedBy>
  <cp:lastPrinted>2023-04-23T14:12:09Z</cp:lastPrinted>
  <dcterms:created xsi:type="dcterms:W3CDTF">2014-04-23T07:39:41Z</dcterms:created>
  <dcterms:modified xsi:type="dcterms:W3CDTF">2023-04-23T14:13:11Z</dcterms:modified>
</cp:coreProperties>
</file>